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000_ccp_pd161117\0_CCP_LICITAÇÃO_15_11_17\MEMORIAL_PLANILHA\"/>
    </mc:Choice>
  </mc:AlternateContent>
  <bookViews>
    <workbookView xWindow="480" yWindow="180" windowWidth="12240" windowHeight="8850" firstSheet="1" activeTab="1"/>
  </bookViews>
  <sheets>
    <sheet name="PLAN. ORÇAM." sheetId="1" r:id="rId1"/>
    <sheet name="CRONOGRAMA" sheetId="2" r:id="rId2"/>
    <sheet name="Plan1" sheetId="3" r:id="rId3"/>
    <sheet name="COMP 1_ESTRUTURA E TELHADO" sheetId="5" r:id="rId4"/>
    <sheet name="COMP2_DIVISORIAAS" sheetId="6" r:id="rId5"/>
    <sheet name="BANCADAS" sheetId="7" r:id="rId6"/>
    <sheet name="COMP 3 quadro giz_divisoria" sheetId="8" r:id="rId7"/>
    <sheet name="COMP4_PASSARELA" sheetId="9" r:id="rId8"/>
    <sheet name="ELETRICA_LOG_TEL" sheetId="10" r:id="rId9"/>
    <sheet name="REVISÕES " sheetId="11" r:id="rId10"/>
  </sheets>
  <externalReferences>
    <externalReference r:id="rId11"/>
  </externalReferences>
  <definedNames>
    <definedName name="_xlnm.Print_Area" localSheetId="1">CRONOGRAMA!$A$7:$I$41</definedName>
    <definedName name="_xlnm.Print_Area" localSheetId="0">'PLAN. ORÇAM.'!$B$2:$K$387</definedName>
  </definedNames>
  <calcPr calcId="162913" fullPrecision="0"/>
</workbook>
</file>

<file path=xl/calcChain.xml><?xml version="1.0" encoding="utf-8"?>
<calcChain xmlns="http://schemas.openxmlformats.org/spreadsheetml/2006/main">
  <c r="I381" i="1" l="1"/>
  <c r="H85" i="1"/>
  <c r="H44" i="1"/>
  <c r="H33" i="1"/>
  <c r="F36" i="1"/>
  <c r="H36" i="1" s="1"/>
  <c r="H61" i="1"/>
  <c r="O157" i="5"/>
  <c r="O156" i="5"/>
  <c r="O154" i="5"/>
  <c r="M154" i="5"/>
  <c r="L153" i="5"/>
  <c r="M153" i="5" s="1"/>
  <c r="O153" i="5" s="1"/>
  <c r="P148" i="5"/>
  <c r="L148" i="5"/>
  <c r="M148" i="5" s="1"/>
  <c r="O148" i="5" s="1"/>
  <c r="N147" i="5"/>
  <c r="P147" i="5" s="1"/>
  <c r="M147" i="5"/>
  <c r="O147" i="5" s="1"/>
  <c r="L147" i="5"/>
  <c r="O144" i="5"/>
  <c r="O143" i="5"/>
  <c r="P139" i="5"/>
  <c r="L139" i="5"/>
  <c r="M139" i="5" s="1"/>
  <c r="O139" i="5" s="1"/>
  <c r="P138" i="5"/>
  <c r="O138" i="5"/>
  <c r="N138" i="5"/>
  <c r="M138" i="5"/>
  <c r="L138" i="5"/>
  <c r="O135" i="5"/>
  <c r="O134" i="5"/>
  <c r="N126" i="5"/>
  <c r="O126" i="5" s="1"/>
  <c r="M126" i="5"/>
  <c r="O125" i="5"/>
  <c r="N125" i="5"/>
  <c r="M124" i="5"/>
  <c r="N124" i="5" s="1"/>
  <c r="O124" i="5" s="1"/>
  <c r="N123" i="5"/>
  <c r="O123" i="5" s="1"/>
  <c r="N122" i="5"/>
  <c r="O122" i="5" s="1"/>
  <c r="M122" i="5"/>
  <c r="N121" i="5"/>
  <c r="O121" i="5" s="1"/>
  <c r="N118" i="5"/>
  <c r="N117" i="5"/>
  <c r="N116" i="5"/>
  <c r="O118" i="5" s="1"/>
  <c r="P110" i="5"/>
  <c r="L110" i="5"/>
  <c r="M110" i="5" s="1"/>
  <c r="O110" i="5" s="1"/>
  <c r="P109" i="5"/>
  <c r="N109" i="5"/>
  <c r="L109" i="5"/>
  <c r="M109" i="5" s="1"/>
  <c r="O109" i="5" s="1"/>
  <c r="O106" i="5"/>
  <c r="O105" i="5"/>
  <c r="P100" i="5"/>
  <c r="L100" i="5"/>
  <c r="O99" i="5"/>
  <c r="K99" i="5"/>
  <c r="O98" i="5"/>
  <c r="K98" i="5"/>
  <c r="Q95" i="5"/>
  <c r="U95" i="5" s="1"/>
  <c r="V95" i="5" s="1"/>
  <c r="O93" i="5"/>
  <c r="K93" i="5"/>
  <c r="O92" i="5"/>
  <c r="K92" i="5"/>
  <c r="O91" i="5"/>
  <c r="K91" i="5"/>
  <c r="U90" i="5"/>
  <c r="O90" i="5"/>
  <c r="P94" i="5" s="1"/>
  <c r="K90" i="5"/>
  <c r="U89" i="5"/>
  <c r="U91" i="5" s="1"/>
  <c r="U86" i="5"/>
  <c r="K86" i="5"/>
  <c r="K85" i="5"/>
  <c r="K84" i="5"/>
  <c r="K83" i="5"/>
  <c r="L87" i="5" s="1"/>
  <c r="U82" i="5"/>
  <c r="V82" i="5" s="1"/>
  <c r="Q82" i="5"/>
  <c r="K79" i="5"/>
  <c r="K78" i="5"/>
  <c r="U77" i="5"/>
  <c r="K77" i="5"/>
  <c r="U76" i="5"/>
  <c r="U78" i="5" s="1"/>
  <c r="K76" i="5"/>
  <c r="N75" i="5"/>
  <c r="K75" i="5"/>
  <c r="U73" i="5"/>
  <c r="K72" i="5"/>
  <c r="K71" i="5"/>
  <c r="L94" i="5" l="1"/>
  <c r="O160" i="5"/>
  <c r="L80" i="5"/>
  <c r="P126" i="5"/>
  <c r="F43" i="1"/>
  <c r="H43" i="1" s="1"/>
  <c r="H41" i="1"/>
  <c r="F42" i="1"/>
  <c r="H42" i="1" s="1"/>
  <c r="H341" i="1"/>
  <c r="H342" i="1"/>
  <c r="H340" i="1"/>
  <c r="G18" i="1"/>
  <c r="H18" i="1" s="1"/>
  <c r="J17" i="1"/>
  <c r="J16" i="1"/>
  <c r="J15" i="1"/>
  <c r="H14" i="1"/>
  <c r="H13" i="1"/>
  <c r="H52" i="1" l="1"/>
  <c r="G53" i="1"/>
  <c r="H53" i="1" s="1"/>
  <c r="H51" i="1"/>
  <c r="H136" i="1"/>
  <c r="H32" i="1"/>
  <c r="H31" i="1"/>
  <c r="M28" i="10"/>
  <c r="M27" i="10"/>
  <c r="M26" i="10"/>
  <c r="M25" i="10"/>
  <c r="M24" i="10"/>
  <c r="M23" i="10"/>
  <c r="M22" i="10"/>
  <c r="G35" i="11"/>
  <c r="F26" i="11"/>
  <c r="F25" i="11"/>
  <c r="F23" i="11"/>
  <c r="F22" i="11"/>
  <c r="G16" i="11"/>
  <c r="N15" i="11"/>
  <c r="G15" i="11"/>
  <c r="N14" i="11"/>
  <c r="F14" i="11"/>
  <c r="D14" i="11"/>
  <c r="N13" i="11"/>
  <c r="D13" i="11"/>
  <c r="F13" i="11" s="1"/>
  <c r="N12" i="11"/>
  <c r="F12" i="11"/>
  <c r="D12" i="11"/>
  <c r="F11" i="11"/>
  <c r="D11" i="11"/>
  <c r="N8" i="11"/>
  <c r="G8" i="11"/>
  <c r="N7" i="11"/>
  <c r="G7" i="11"/>
  <c r="G33" i="11" s="1"/>
  <c r="N6" i="11"/>
  <c r="C6" i="11"/>
  <c r="D6" i="11" s="1"/>
  <c r="F6" i="11" s="1"/>
  <c r="N5" i="11"/>
  <c r="C5" i="11"/>
  <c r="D5" i="11" s="1"/>
  <c r="F5" i="11" s="1"/>
  <c r="N4" i="11"/>
  <c r="C4" i="11"/>
  <c r="D4" i="11" s="1"/>
  <c r="F4" i="11" s="1"/>
  <c r="C3" i="11"/>
  <c r="D3" i="11" s="1"/>
  <c r="F3" i="11" s="1"/>
  <c r="H129" i="1"/>
  <c r="H127" i="1"/>
  <c r="N133" i="1"/>
  <c r="N132" i="1"/>
  <c r="N131" i="1"/>
  <c r="N130" i="1"/>
  <c r="F118" i="1"/>
  <c r="H118" i="1" s="1"/>
  <c r="H117" i="1"/>
  <c r="H82" i="1"/>
  <c r="H81" i="1"/>
  <c r="N81" i="1"/>
  <c r="H200" i="1"/>
  <c r="H199" i="1"/>
  <c r="H198" i="1"/>
  <c r="H145" i="1"/>
  <c r="H375" i="1"/>
  <c r="F374" i="1"/>
  <c r="F373" i="1"/>
  <c r="F372" i="1"/>
  <c r="F371" i="1"/>
  <c r="H353" i="1"/>
  <c r="H327" i="1"/>
  <c r="H326" i="1"/>
  <c r="H246" i="1"/>
  <c r="H271" i="1"/>
  <c r="G297" i="1"/>
  <c r="H319" i="1"/>
  <c r="H307" i="1"/>
  <c r="H306" i="1"/>
  <c r="H294" i="1"/>
  <c r="H293" i="1"/>
  <c r="H288" i="1"/>
  <c r="F287" i="1"/>
  <c r="J239" i="10"/>
  <c r="J238" i="10"/>
  <c r="J237" i="10"/>
  <c r="J236" i="10"/>
  <c r="J235" i="10"/>
  <c r="J234" i="10"/>
  <c r="J233" i="10"/>
  <c r="J232" i="10"/>
  <c r="J231" i="10"/>
  <c r="J230" i="10"/>
  <c r="J229" i="10"/>
  <c r="J228" i="10"/>
  <c r="J227" i="10"/>
  <c r="J226" i="10"/>
  <c r="J225" i="10"/>
  <c r="J224" i="10"/>
  <c r="J223" i="10"/>
  <c r="J222" i="10"/>
  <c r="J221" i="10"/>
  <c r="J220" i="10"/>
  <c r="J219" i="10"/>
  <c r="J218" i="10"/>
  <c r="J217" i="10"/>
  <c r="J216" i="10"/>
  <c r="J215" i="10"/>
  <c r="J214" i="10"/>
  <c r="J213" i="10"/>
  <c r="J212" i="10"/>
  <c r="J211" i="10"/>
  <c r="J210" i="10"/>
  <c r="J209" i="10"/>
  <c r="J208" i="10"/>
  <c r="J207" i="10"/>
  <c r="J206" i="10"/>
  <c r="J205" i="10"/>
  <c r="J204" i="10"/>
  <c r="J203" i="10"/>
  <c r="J202" i="10"/>
  <c r="J201" i="10"/>
  <c r="J200" i="10"/>
  <c r="J199" i="10"/>
  <c r="J198" i="10"/>
  <c r="J197" i="10"/>
  <c r="J196" i="10"/>
  <c r="J195" i="10"/>
  <c r="J194" i="10"/>
  <c r="J193" i="10"/>
  <c r="J192" i="10"/>
  <c r="J191" i="10"/>
  <c r="J190" i="10"/>
  <c r="J189" i="10"/>
  <c r="J188" i="10"/>
  <c r="J187" i="10"/>
  <c r="J186" i="10"/>
  <c r="J185" i="10"/>
  <c r="J184" i="10"/>
  <c r="J183" i="10"/>
  <c r="J182" i="10"/>
  <c r="J181" i="10"/>
  <c r="J180" i="10"/>
  <c r="J179" i="10"/>
  <c r="J178" i="10"/>
  <c r="J177" i="10"/>
  <c r="J176" i="10"/>
  <c r="J175" i="10"/>
  <c r="J174" i="10"/>
  <c r="J173" i="10"/>
  <c r="J172" i="10"/>
  <c r="J171" i="10"/>
  <c r="J170" i="10"/>
  <c r="J169" i="10"/>
  <c r="J168" i="10"/>
  <c r="J167" i="10"/>
  <c r="J166" i="10"/>
  <c r="J165" i="10"/>
  <c r="J164" i="10"/>
  <c r="J163" i="10"/>
  <c r="J162" i="10"/>
  <c r="J161" i="10"/>
  <c r="J160" i="10"/>
  <c r="J159" i="10"/>
  <c r="J158" i="10"/>
  <c r="J157" i="10"/>
  <c r="J156" i="10"/>
  <c r="J155" i="10"/>
  <c r="J154" i="10"/>
  <c r="J153" i="10"/>
  <c r="J152" i="10"/>
  <c r="J151" i="10"/>
  <c r="J150" i="10"/>
  <c r="J149" i="10"/>
  <c r="J148" i="10"/>
  <c r="J147" i="10"/>
  <c r="J146" i="10"/>
  <c r="J145" i="10"/>
  <c r="J144" i="10"/>
  <c r="J143" i="10"/>
  <c r="J142" i="10"/>
  <c r="J141" i="10"/>
  <c r="J140" i="10"/>
  <c r="J139" i="10"/>
  <c r="J138" i="10"/>
  <c r="J137" i="10"/>
  <c r="J136" i="10"/>
  <c r="J135" i="10"/>
  <c r="J134" i="10"/>
  <c r="J133" i="10"/>
  <c r="J132" i="10"/>
  <c r="J131" i="10"/>
  <c r="J130" i="10"/>
  <c r="J129" i="10"/>
  <c r="J128" i="10"/>
  <c r="J127" i="10"/>
  <c r="J126" i="10"/>
  <c r="J125" i="10"/>
  <c r="J124" i="10"/>
  <c r="J123" i="10"/>
  <c r="J122" i="10"/>
  <c r="J121" i="10"/>
  <c r="J120" i="10"/>
  <c r="J119" i="10"/>
  <c r="J118" i="10"/>
  <c r="J117" i="10"/>
  <c r="J116" i="10"/>
  <c r="J115" i="10"/>
  <c r="J114" i="10"/>
  <c r="J113" i="10"/>
  <c r="J112" i="10"/>
  <c r="J111" i="10"/>
  <c r="J110" i="10"/>
  <c r="J109" i="10"/>
  <c r="J108" i="10"/>
  <c r="J107" i="10"/>
  <c r="J106" i="10"/>
  <c r="J105" i="10"/>
  <c r="J104" i="10"/>
  <c r="J103" i="10"/>
  <c r="J102" i="10"/>
  <c r="J101" i="10"/>
  <c r="J100" i="10"/>
  <c r="J99" i="10"/>
  <c r="J98" i="10"/>
  <c r="J97" i="10"/>
  <c r="J96" i="10"/>
  <c r="J95" i="10"/>
  <c r="J94" i="10"/>
  <c r="J93" i="10"/>
  <c r="J92" i="10"/>
  <c r="J91" i="10"/>
  <c r="J90" i="10"/>
  <c r="J89" i="10"/>
  <c r="J88" i="10"/>
  <c r="J87" i="10"/>
  <c r="J86" i="10"/>
  <c r="J85" i="10"/>
  <c r="J84" i="10"/>
  <c r="J83" i="10"/>
  <c r="J82" i="10"/>
  <c r="J81" i="10"/>
  <c r="J80" i="10"/>
  <c r="J79" i="10"/>
  <c r="J78" i="10"/>
  <c r="J77" i="10"/>
  <c r="J76" i="10"/>
  <c r="J75" i="10"/>
  <c r="J74" i="10"/>
  <c r="J73" i="10"/>
  <c r="J72" i="10"/>
  <c r="J71" i="10"/>
  <c r="J70" i="10"/>
  <c r="J69" i="10"/>
  <c r="J68" i="10"/>
  <c r="J67" i="10"/>
  <c r="J66" i="10"/>
  <c r="J65" i="10"/>
  <c r="J64" i="10"/>
  <c r="J63" i="10"/>
  <c r="J62" i="10"/>
  <c r="J61" i="10"/>
  <c r="J60" i="10"/>
  <c r="J59" i="10"/>
  <c r="J58" i="10"/>
  <c r="J57" i="10"/>
  <c r="J56" i="10"/>
  <c r="J55" i="10"/>
  <c r="J54" i="10"/>
  <c r="J53" i="10"/>
  <c r="J52" i="10"/>
  <c r="J51" i="10"/>
  <c r="J50" i="10"/>
  <c r="J49" i="10"/>
  <c r="J48" i="10"/>
  <c r="J47" i="10"/>
  <c r="J46" i="10"/>
  <c r="J45" i="10"/>
  <c r="J44" i="10"/>
  <c r="J43" i="10"/>
  <c r="J42" i="10"/>
  <c r="J41" i="10"/>
  <c r="J40" i="10"/>
  <c r="J39" i="10"/>
  <c r="J38" i="10"/>
  <c r="J37" i="10"/>
  <c r="J36" i="10"/>
  <c r="J35" i="10"/>
  <c r="J34" i="10"/>
  <c r="J33" i="10"/>
  <c r="J32" i="10"/>
  <c r="J31" i="10"/>
  <c r="J30" i="10"/>
  <c r="J29" i="10"/>
  <c r="J28" i="10"/>
  <c r="J27" i="10"/>
  <c r="J26" i="10"/>
  <c r="J25" i="10"/>
  <c r="J24" i="10"/>
  <c r="J23" i="10"/>
  <c r="J22" i="10"/>
  <c r="J21" i="10"/>
  <c r="J20" i="10"/>
  <c r="J19" i="10"/>
  <c r="J18" i="10"/>
  <c r="J17" i="10"/>
  <c r="J16" i="10"/>
  <c r="J15" i="10"/>
  <c r="J14" i="10"/>
  <c r="J13" i="10"/>
  <c r="J12" i="10"/>
  <c r="J11" i="10"/>
  <c r="J10" i="10"/>
  <c r="J9" i="10"/>
  <c r="J8" i="10"/>
  <c r="F7" i="2"/>
  <c r="H325" i="1"/>
  <c r="H155" i="1"/>
  <c r="G366" i="1"/>
  <c r="G367" i="1" s="1"/>
  <c r="G368" i="1" s="1"/>
  <c r="G369" i="1" s="1"/>
  <c r="E91" i="6"/>
  <c r="E92" i="6" s="1"/>
  <c r="D89" i="6"/>
  <c r="D88" i="6"/>
  <c r="F16" i="2"/>
  <c r="H168" i="1"/>
  <c r="F14" i="2"/>
  <c r="I13" i="2"/>
  <c r="L13" i="2" s="1"/>
  <c r="O13" i="2" s="1"/>
  <c r="R13" i="2" s="1"/>
  <c r="U13" i="2" s="1"/>
  <c r="X13" i="2" s="1"/>
  <c r="AA13" i="2" s="1"/>
  <c r="AD13" i="2" s="1"/>
  <c r="AG13" i="2" s="1"/>
  <c r="AJ13" i="2" s="1"/>
  <c r="AM13" i="2" s="1"/>
  <c r="AP13" i="2" s="1"/>
  <c r="AS13" i="2" s="1"/>
  <c r="AV13" i="2" s="1"/>
  <c r="AY13" i="2" s="1"/>
  <c r="BB13" i="2" s="1"/>
  <c r="BE13" i="2" s="1"/>
  <c r="N18" i="11" l="1"/>
  <c r="N134" i="1"/>
  <c r="N127" i="1" s="1"/>
  <c r="F33" i="11"/>
  <c r="H369" i="1"/>
  <c r="D91" i="6"/>
  <c r="D92" i="6" s="1"/>
  <c r="I14" i="2"/>
  <c r="L14" i="2" s="1"/>
  <c r="O14" i="2" s="1"/>
  <c r="R14" i="2" s="1"/>
  <c r="U14" i="2" s="1"/>
  <c r="X14" i="2" s="1"/>
  <c r="AA14" i="2" s="1"/>
  <c r="AD14" i="2" s="1"/>
  <c r="AG14" i="2" s="1"/>
  <c r="AJ14" i="2" s="1"/>
  <c r="AM14" i="2" s="1"/>
  <c r="AP14" i="2" s="1"/>
  <c r="AS14" i="2" s="1"/>
  <c r="AV14" i="2" s="1"/>
  <c r="AY14" i="2" s="1"/>
  <c r="BB14" i="2" s="1"/>
  <c r="BE14" i="2" s="1"/>
  <c r="F15" i="2"/>
  <c r="I15" i="2" s="1"/>
  <c r="L15" i="2" s="1"/>
  <c r="O15" i="2" s="1"/>
  <c r="R15" i="2" s="1"/>
  <c r="U15" i="2" s="1"/>
  <c r="X15" i="2" s="1"/>
  <c r="AA15" i="2" s="1"/>
  <c r="AD15" i="2" s="1"/>
  <c r="AG15" i="2" s="1"/>
  <c r="AJ15" i="2" s="1"/>
  <c r="AM15" i="2" s="1"/>
  <c r="AP15" i="2" s="1"/>
  <c r="AS15" i="2" s="1"/>
  <c r="AV15" i="2" s="1"/>
  <c r="AY15" i="2" s="1"/>
  <c r="BB15" i="2" s="1"/>
  <c r="BE15" i="2" s="1"/>
  <c r="I16" i="2"/>
  <c r="G34" i="11" l="1"/>
  <c r="G36" i="11" s="1"/>
  <c r="G38" i="11" s="1"/>
  <c r="G40" i="11" s="1"/>
  <c r="I36" i="11"/>
  <c r="L16" i="2"/>
  <c r="O16" i="2" s="1"/>
  <c r="R16" i="2" s="1"/>
  <c r="U16" i="2" s="1"/>
  <c r="X16" i="2" s="1"/>
  <c r="AA16" i="2" s="1"/>
  <c r="AD16" i="2" s="1"/>
  <c r="AG16" i="2" s="1"/>
  <c r="AJ16" i="2" s="1"/>
  <c r="AM16" i="2" s="1"/>
  <c r="AP16" i="2" s="1"/>
  <c r="AS16" i="2" s="1"/>
  <c r="AV16" i="2" s="1"/>
  <c r="F17" i="2"/>
  <c r="AY16" i="2" l="1"/>
  <c r="BB16" i="2" s="1"/>
  <c r="BE16" i="2" s="1"/>
  <c r="I17" i="2"/>
  <c r="L17" i="2" s="1"/>
  <c r="O17" i="2" s="1"/>
  <c r="R17" i="2" s="1"/>
  <c r="U17" i="2" s="1"/>
  <c r="X17" i="2" s="1"/>
  <c r="AA17" i="2" s="1"/>
  <c r="AD17" i="2" s="1"/>
  <c r="AG17" i="2" s="1"/>
  <c r="AJ17" i="2" s="1"/>
  <c r="AM17" i="2" s="1"/>
  <c r="AP17" i="2" s="1"/>
  <c r="AS17" i="2" s="1"/>
  <c r="AV17" i="2" s="1"/>
  <c r="F18" i="2"/>
  <c r="I18" i="2" s="1"/>
  <c r="L18" i="2" s="1"/>
  <c r="O18" i="2" s="1"/>
  <c r="R18" i="2" s="1"/>
  <c r="U18" i="2" s="1"/>
  <c r="X18" i="2" s="1"/>
  <c r="AA18" i="2" s="1"/>
  <c r="AD18" i="2" s="1"/>
  <c r="AG18" i="2" s="1"/>
  <c r="AJ18" i="2" s="1"/>
  <c r="AM18" i="2" s="1"/>
  <c r="AP18" i="2" s="1"/>
  <c r="AS18" i="2" s="1"/>
  <c r="AV18" i="2" s="1"/>
  <c r="AY17" i="2" l="1"/>
  <c r="BB17" i="2" s="1"/>
  <c r="BE17" i="2" s="1"/>
  <c r="F19" i="2"/>
  <c r="AY18" i="2" l="1"/>
  <c r="BB18" i="2" s="1"/>
  <c r="BE18" i="2" s="1"/>
  <c r="I19" i="2"/>
  <c r="L19" i="2" s="1"/>
  <c r="O19" i="2" s="1"/>
  <c r="R19" i="2" s="1"/>
  <c r="U19" i="2" s="1"/>
  <c r="X19" i="2" s="1"/>
  <c r="AA19" i="2" s="1"/>
  <c r="AD19" i="2" s="1"/>
  <c r="AG19" i="2" s="1"/>
  <c r="AJ19" i="2" s="1"/>
  <c r="AM19" i="2" s="1"/>
  <c r="AP19" i="2" s="1"/>
  <c r="AS19" i="2" s="1"/>
  <c r="AV19" i="2" s="1"/>
  <c r="F20" i="2"/>
  <c r="AY19" i="2" l="1"/>
  <c r="BB19" i="2" s="1"/>
  <c r="BE19" i="2" s="1"/>
  <c r="I20" i="2"/>
  <c r="L20" i="2" s="1"/>
  <c r="O20" i="2" s="1"/>
  <c r="R20" i="2" s="1"/>
  <c r="U20" i="2" s="1"/>
  <c r="X20" i="2" s="1"/>
  <c r="AA20" i="2" s="1"/>
  <c r="AD20" i="2" s="1"/>
  <c r="AG20" i="2" s="1"/>
  <c r="AJ20" i="2" s="1"/>
  <c r="AM20" i="2" s="1"/>
  <c r="AP20" i="2" s="1"/>
  <c r="AS20" i="2" s="1"/>
  <c r="AV20" i="2" s="1"/>
  <c r="F21" i="2"/>
  <c r="AY20" i="2" l="1"/>
  <c r="BB20" i="2" s="1"/>
  <c r="BE20" i="2" s="1"/>
  <c r="I21" i="2"/>
  <c r="L21" i="2" s="1"/>
  <c r="O21" i="2" s="1"/>
  <c r="R21" i="2" s="1"/>
  <c r="U21" i="2" s="1"/>
  <c r="X21" i="2" s="1"/>
  <c r="AA21" i="2" s="1"/>
  <c r="AD21" i="2" s="1"/>
  <c r="AG21" i="2" s="1"/>
  <c r="AJ21" i="2" s="1"/>
  <c r="AM21" i="2" s="1"/>
  <c r="AP21" i="2" s="1"/>
  <c r="AS21" i="2" s="1"/>
  <c r="AV21" i="2" s="1"/>
  <c r="F22" i="2"/>
  <c r="AY21" i="2" l="1"/>
  <c r="BB21" i="2" s="1"/>
  <c r="BE21" i="2" s="1"/>
  <c r="I22" i="2"/>
  <c r="L22" i="2" s="1"/>
  <c r="O22" i="2" s="1"/>
  <c r="R22" i="2" s="1"/>
  <c r="U22" i="2" s="1"/>
  <c r="X22" i="2" s="1"/>
  <c r="AA22" i="2" s="1"/>
  <c r="AD22" i="2" s="1"/>
  <c r="AG22" i="2" s="1"/>
  <c r="AJ22" i="2" s="1"/>
  <c r="AM22" i="2" s="1"/>
  <c r="AP22" i="2" s="1"/>
  <c r="AS22" i="2" s="1"/>
  <c r="AV22" i="2" s="1"/>
  <c r="F23" i="2"/>
  <c r="I23" i="2" s="1"/>
  <c r="L23" i="2" s="1"/>
  <c r="O23" i="2" s="1"/>
  <c r="R23" i="2" s="1"/>
  <c r="U23" i="2" s="1"/>
  <c r="X23" i="2" s="1"/>
  <c r="AA23" i="2" s="1"/>
  <c r="AD23" i="2" s="1"/>
  <c r="AG23" i="2" s="1"/>
  <c r="AJ23" i="2" s="1"/>
  <c r="AM23" i="2" s="1"/>
  <c r="AP23" i="2" s="1"/>
  <c r="AS23" i="2" s="1"/>
  <c r="AV23" i="2" s="1"/>
  <c r="AY22" i="2" l="1"/>
  <c r="BB22" i="2" s="1"/>
  <c r="BE22" i="2" s="1"/>
  <c r="F24" i="2"/>
  <c r="AY23" i="2" l="1"/>
  <c r="BB23" i="2" s="1"/>
  <c r="BE23" i="2" s="1"/>
  <c r="I24" i="2"/>
  <c r="L24" i="2" s="1"/>
  <c r="O24" i="2" s="1"/>
  <c r="R24" i="2" s="1"/>
  <c r="U24" i="2" s="1"/>
  <c r="X24" i="2" s="1"/>
  <c r="AA24" i="2" s="1"/>
  <c r="AD24" i="2" s="1"/>
  <c r="AG24" i="2" s="1"/>
  <c r="AJ24" i="2" s="1"/>
  <c r="AM24" i="2" s="1"/>
  <c r="AP24" i="2" s="1"/>
  <c r="AS24" i="2" s="1"/>
  <c r="AV24" i="2" s="1"/>
  <c r="F25" i="2"/>
  <c r="AY24" i="2" l="1"/>
  <c r="BB24" i="2" s="1"/>
  <c r="BE24" i="2" s="1"/>
  <c r="I25" i="2"/>
  <c r="L25" i="2" s="1"/>
  <c r="O25" i="2" s="1"/>
  <c r="R25" i="2" s="1"/>
  <c r="U25" i="2" s="1"/>
  <c r="X25" i="2" s="1"/>
  <c r="AA25" i="2" s="1"/>
  <c r="AD25" i="2" s="1"/>
  <c r="AG25" i="2" s="1"/>
  <c r="AJ25" i="2" s="1"/>
  <c r="AM25" i="2" s="1"/>
  <c r="AP25" i="2" s="1"/>
  <c r="AS25" i="2" s="1"/>
  <c r="AV25" i="2" s="1"/>
  <c r="F26" i="2"/>
  <c r="I26" i="2" s="1"/>
  <c r="AY25" i="2" l="1"/>
  <c r="BB25" i="2" s="1"/>
  <c r="BE25" i="2" s="1"/>
  <c r="L26" i="2"/>
  <c r="O26" i="2" s="1"/>
  <c r="R26" i="2" s="1"/>
  <c r="U26" i="2" s="1"/>
  <c r="X26" i="2" s="1"/>
  <c r="AA26" i="2" s="1"/>
  <c r="AD26" i="2" s="1"/>
  <c r="AG26" i="2" s="1"/>
  <c r="AJ26" i="2" s="1"/>
  <c r="AM26" i="2" s="1"/>
  <c r="AP26" i="2" s="1"/>
  <c r="AS26" i="2" s="1"/>
  <c r="AV26" i="2" s="1"/>
  <c r="F27" i="2"/>
  <c r="AY26" i="2" l="1"/>
  <c r="BB26" i="2" s="1"/>
  <c r="BE26" i="2" s="1"/>
  <c r="I27" i="2"/>
  <c r="L27" i="2" s="1"/>
  <c r="O27" i="2" s="1"/>
  <c r="R27" i="2" s="1"/>
  <c r="U27" i="2" s="1"/>
  <c r="X27" i="2" s="1"/>
  <c r="AA27" i="2" s="1"/>
  <c r="AD27" i="2" s="1"/>
  <c r="AG27" i="2" s="1"/>
  <c r="AJ27" i="2" s="1"/>
  <c r="AM27" i="2" s="1"/>
  <c r="AP27" i="2" s="1"/>
  <c r="AS27" i="2" s="1"/>
  <c r="AV27" i="2" s="1"/>
  <c r="F28" i="2"/>
  <c r="I28" i="2" s="1"/>
  <c r="AY27" i="2" l="1"/>
  <c r="BB27" i="2" s="1"/>
  <c r="BE27" i="2" s="1"/>
  <c r="L28" i="2"/>
  <c r="O28" i="2" s="1"/>
  <c r="R28" i="2" s="1"/>
  <c r="U28" i="2" s="1"/>
  <c r="X28" i="2" s="1"/>
  <c r="AA28" i="2" s="1"/>
  <c r="AD28" i="2" s="1"/>
  <c r="AG28" i="2" s="1"/>
  <c r="AJ28" i="2" s="1"/>
  <c r="AM28" i="2" s="1"/>
  <c r="AP28" i="2" s="1"/>
  <c r="AS28" i="2" s="1"/>
  <c r="AV28" i="2" s="1"/>
  <c r="F29" i="2"/>
  <c r="I29" i="2" s="1"/>
  <c r="AY28" i="2" l="1"/>
  <c r="BB28" i="2" s="1"/>
  <c r="BE28" i="2" s="1"/>
  <c r="L29" i="2"/>
  <c r="O29" i="2" s="1"/>
  <c r="R29" i="2" s="1"/>
  <c r="U29" i="2" s="1"/>
  <c r="X29" i="2" s="1"/>
  <c r="AA29" i="2" s="1"/>
  <c r="AD29" i="2" s="1"/>
  <c r="AG29" i="2" s="1"/>
  <c r="AJ29" i="2" s="1"/>
  <c r="AM29" i="2" s="1"/>
  <c r="AP29" i="2" s="1"/>
  <c r="AS29" i="2" s="1"/>
  <c r="AV29" i="2" s="1"/>
  <c r="F30" i="2"/>
  <c r="AY29" i="2" l="1"/>
  <c r="BB29" i="2" s="1"/>
  <c r="BE29" i="2" s="1"/>
  <c r="I30" i="2"/>
  <c r="L30" i="2" s="1"/>
  <c r="O30" i="2" s="1"/>
  <c r="R30" i="2" s="1"/>
  <c r="U30" i="2" s="1"/>
  <c r="X30" i="2" s="1"/>
  <c r="AA30" i="2" s="1"/>
  <c r="AD30" i="2" s="1"/>
  <c r="AG30" i="2" s="1"/>
  <c r="AJ30" i="2" s="1"/>
  <c r="AM30" i="2" s="1"/>
  <c r="AP30" i="2" s="1"/>
  <c r="AS30" i="2" s="1"/>
  <c r="AV30" i="2" s="1"/>
  <c r="F32" i="2"/>
  <c r="F31" i="2"/>
  <c r="I31" i="2" s="1"/>
  <c r="AY30" i="2" l="1"/>
  <c r="BB30" i="2" s="1"/>
  <c r="BE30" i="2" s="1"/>
  <c r="L31" i="2"/>
  <c r="O31" i="2" s="1"/>
  <c r="R31" i="2" s="1"/>
  <c r="U31" i="2" s="1"/>
  <c r="X31" i="2" s="1"/>
  <c r="AA31" i="2" s="1"/>
  <c r="AD31" i="2" s="1"/>
  <c r="AG31" i="2" s="1"/>
  <c r="AJ31" i="2" s="1"/>
  <c r="AM31" i="2" s="1"/>
  <c r="AP31" i="2" s="1"/>
  <c r="AS31" i="2" s="1"/>
  <c r="AV31" i="2" s="1"/>
  <c r="I32" i="2"/>
  <c r="B24" i="2"/>
  <c r="B25" i="2"/>
  <c r="B26" i="2"/>
  <c r="B27" i="2"/>
  <c r="B28" i="2"/>
  <c r="B29" i="2"/>
  <c r="B30" i="2"/>
  <c r="B31" i="2"/>
  <c r="B32" i="2"/>
  <c r="B14" i="2"/>
  <c r="B15" i="2"/>
  <c r="B16" i="2"/>
  <c r="B17" i="2"/>
  <c r="B18" i="2"/>
  <c r="B19" i="2"/>
  <c r="B20" i="2"/>
  <c r="B21" i="2"/>
  <c r="B22" i="2"/>
  <c r="B23" i="2"/>
  <c r="B13" i="2"/>
  <c r="H97" i="1"/>
  <c r="H12" i="9"/>
  <c r="G8" i="9"/>
  <c r="H8" i="9" s="1"/>
  <c r="F8" i="9"/>
  <c r="E8" i="9"/>
  <c r="F5" i="9"/>
  <c r="H5" i="9" s="1"/>
  <c r="H14" i="9" l="1"/>
  <c r="H15" i="9" s="1"/>
  <c r="H16" i="9" s="1"/>
  <c r="AY31" i="2"/>
  <c r="BB31" i="2" s="1"/>
  <c r="BE31" i="2" s="1"/>
  <c r="L32" i="2"/>
  <c r="O32" i="2" s="1"/>
  <c r="R32" i="2" s="1"/>
  <c r="U32" i="2" s="1"/>
  <c r="X32" i="2" s="1"/>
  <c r="AA32" i="2" s="1"/>
  <c r="AD32" i="2" s="1"/>
  <c r="AG32" i="2" s="1"/>
  <c r="AJ32" i="2" s="1"/>
  <c r="AM32" i="2" s="1"/>
  <c r="AP32" i="2" s="1"/>
  <c r="AS32" i="2" s="1"/>
  <c r="AV32" i="2" s="1"/>
  <c r="H380" i="1"/>
  <c r="H368" i="1"/>
  <c r="H379" i="1"/>
  <c r="H378" i="1"/>
  <c r="H367" i="1"/>
  <c r="H366" i="1"/>
  <c r="H365" i="1"/>
  <c r="H114" i="1"/>
  <c r="H113" i="1"/>
  <c r="H359" i="1"/>
  <c r="H62" i="7"/>
  <c r="H61" i="7"/>
  <c r="H60" i="7"/>
  <c r="H58" i="7"/>
  <c r="H56" i="7"/>
  <c r="H55" i="7"/>
  <c r="H54" i="7"/>
  <c r="H53" i="7"/>
  <c r="H52" i="7"/>
  <c r="I62" i="7" s="1"/>
  <c r="F57" i="1"/>
  <c r="H57" i="1" s="1"/>
  <c r="H56" i="1"/>
  <c r="H88" i="1"/>
  <c r="H358" i="1"/>
  <c r="H343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J28" i="7"/>
  <c r="K28" i="7" s="1"/>
  <c r="H90" i="1"/>
  <c r="M7" i="7"/>
  <c r="M6" i="7"/>
  <c r="M5" i="7"/>
  <c r="M8" i="7" s="1"/>
  <c r="K5" i="7"/>
  <c r="H7" i="7"/>
  <c r="H8" i="7"/>
  <c r="H9" i="7"/>
  <c r="H10" i="7"/>
  <c r="H28" i="7" s="1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6" i="7"/>
  <c r="H60" i="1"/>
  <c r="H59" i="1"/>
  <c r="C80" i="6"/>
  <c r="D80" i="6"/>
  <c r="H89" i="1"/>
  <c r="H87" i="1"/>
  <c r="C60" i="6"/>
  <c r="H346" i="1"/>
  <c r="H339" i="1"/>
  <c r="H357" i="1"/>
  <c r="H86" i="1"/>
  <c r="H50" i="1"/>
  <c r="G78" i="5"/>
  <c r="G77" i="5"/>
  <c r="G76" i="5"/>
  <c r="G75" i="5"/>
  <c r="D74" i="5"/>
  <c r="G74" i="5" s="1"/>
  <c r="D73" i="5"/>
  <c r="G73" i="5" s="1"/>
  <c r="G72" i="5"/>
  <c r="G71" i="5"/>
  <c r="G79" i="5" s="1"/>
  <c r="G83" i="5" s="1"/>
  <c r="F44" i="5"/>
  <c r="F42" i="5"/>
  <c r="D43" i="5"/>
  <c r="F41" i="5"/>
  <c r="E41" i="5"/>
  <c r="E43" i="5" s="1"/>
  <c r="F43" i="5" s="1"/>
  <c r="H297" i="1"/>
  <c r="E61" i="5"/>
  <c r="J48" i="5"/>
  <c r="E53" i="5" s="1"/>
  <c r="E60" i="5" s="1"/>
  <c r="D62" i="5"/>
  <c r="F53" i="6"/>
  <c r="F54" i="6"/>
  <c r="F55" i="6"/>
  <c r="F56" i="6"/>
  <c r="F57" i="6"/>
  <c r="F58" i="6"/>
  <c r="F59" i="6"/>
  <c r="F52" i="6"/>
  <c r="F20" i="8"/>
  <c r="F21" i="8" s="1"/>
  <c r="E17" i="8"/>
  <c r="E20" i="8" s="1"/>
  <c r="E21" i="8" s="1"/>
  <c r="E18" i="8"/>
  <c r="C12" i="8"/>
  <c r="C11" i="8"/>
  <c r="H78" i="1"/>
  <c r="G33" i="5"/>
  <c r="G19" i="5"/>
  <c r="G30" i="5"/>
  <c r="D24" i="5"/>
  <c r="G24" i="5" s="1"/>
  <c r="K29" i="5"/>
  <c r="K35" i="5" s="1"/>
  <c r="K15" i="5"/>
  <c r="K21" i="5" s="1"/>
  <c r="D10" i="5"/>
  <c r="D16" i="5" s="1"/>
  <c r="D17" i="5" s="1"/>
  <c r="G17" i="5" s="1"/>
  <c r="E78" i="6"/>
  <c r="E74" i="6"/>
  <c r="E70" i="6"/>
  <c r="E66" i="6"/>
  <c r="E77" i="6"/>
  <c r="E76" i="6"/>
  <c r="E73" i="6"/>
  <c r="E72" i="6"/>
  <c r="E69" i="6"/>
  <c r="E68" i="6"/>
  <c r="E65" i="6"/>
  <c r="E64" i="6"/>
  <c r="F9" i="6"/>
  <c r="F10" i="6"/>
  <c r="F11" i="6"/>
  <c r="F14" i="6"/>
  <c r="F15" i="6"/>
  <c r="F16" i="6"/>
  <c r="F17" i="6"/>
  <c r="F19" i="6"/>
  <c r="F20" i="6"/>
  <c r="F23" i="6"/>
  <c r="F24" i="6"/>
  <c r="F25" i="6"/>
  <c r="F26" i="6"/>
  <c r="F27" i="6"/>
  <c r="F28" i="6"/>
  <c r="F33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8" i="6"/>
  <c r="D32" i="6"/>
  <c r="F32" i="6" s="1"/>
  <c r="D22" i="6"/>
  <c r="F22" i="6" s="1"/>
  <c r="D18" i="6"/>
  <c r="F18" i="6" s="1"/>
  <c r="D13" i="6"/>
  <c r="F13" i="6" s="1"/>
  <c r="H356" i="1"/>
  <c r="H352" i="1"/>
  <c r="H350" i="1"/>
  <c r="H159" i="1"/>
  <c r="H158" i="1"/>
  <c r="H162" i="1"/>
  <c r="H161" i="1"/>
  <c r="H160" i="1"/>
  <c r="H124" i="1"/>
  <c r="H123" i="1"/>
  <c r="H141" i="1"/>
  <c r="H135" i="1"/>
  <c r="H138" i="1"/>
  <c r="H133" i="1"/>
  <c r="H287" i="1"/>
  <c r="P289" i="1"/>
  <c r="H292" i="1"/>
  <c r="H299" i="1"/>
  <c r="H303" i="1"/>
  <c r="H304" i="1"/>
  <c r="H305" i="1"/>
  <c r="H309" i="1"/>
  <c r="H310" i="1"/>
  <c r="H311" i="1"/>
  <c r="H312" i="1"/>
  <c r="H314" i="1"/>
  <c r="H315" i="1"/>
  <c r="H316" i="1"/>
  <c r="H317" i="1"/>
  <c r="H320" i="1"/>
  <c r="H324" i="1"/>
  <c r="H332" i="1"/>
  <c r="H333" i="1"/>
  <c r="H335" i="1"/>
  <c r="H277" i="1"/>
  <c r="H321" i="1"/>
  <c r="H318" i="1"/>
  <c r="H313" i="1"/>
  <c r="H302" i="1"/>
  <c r="H286" i="1"/>
  <c r="H283" i="1"/>
  <c r="H282" i="1"/>
  <c r="H281" i="1"/>
  <c r="H280" i="1"/>
  <c r="H279" i="1"/>
  <c r="H278" i="1"/>
  <c r="H270" i="1"/>
  <c r="H268" i="1"/>
  <c r="H262" i="1"/>
  <c r="H265" i="1"/>
  <c r="H260" i="1"/>
  <c r="H258" i="1"/>
  <c r="H256" i="1"/>
  <c r="H253" i="1"/>
  <c r="H251" i="1"/>
  <c r="H249" i="1"/>
  <c r="H245" i="1"/>
  <c r="H242" i="1"/>
  <c r="H240" i="1"/>
  <c r="H237" i="1"/>
  <c r="H233" i="1"/>
  <c r="H229" i="1"/>
  <c r="H220" i="1"/>
  <c r="H174" i="1"/>
  <c r="H175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218" i="1"/>
  <c r="H221" i="1"/>
  <c r="H222" i="1"/>
  <c r="H223" i="1"/>
  <c r="H224" i="1"/>
  <c r="H225" i="1"/>
  <c r="H144" i="1"/>
  <c r="F95" i="1"/>
  <c r="H95" i="1" s="1"/>
  <c r="H101" i="1"/>
  <c r="H100" i="1"/>
  <c r="H98" i="1"/>
  <c r="H107" i="1"/>
  <c r="H109" i="1"/>
  <c r="F105" i="1"/>
  <c r="H94" i="1"/>
  <c r="H20" i="1"/>
  <c r="H21" i="1"/>
  <c r="H22" i="1"/>
  <c r="H24" i="1"/>
  <c r="H25" i="1"/>
  <c r="H26" i="1"/>
  <c r="H27" i="1"/>
  <c r="H29" i="1"/>
  <c r="H30" i="1"/>
  <c r="H35" i="1"/>
  <c r="H37" i="1"/>
  <c r="H39" i="1"/>
  <c r="H49" i="1"/>
  <c r="H66" i="1"/>
  <c r="H68" i="1"/>
  <c r="H72" i="1"/>
  <c r="H73" i="1"/>
  <c r="H75" i="1"/>
  <c r="H96" i="1"/>
  <c r="H99" i="1"/>
  <c r="H102" i="1"/>
  <c r="H103" i="1"/>
  <c r="H104" i="1"/>
  <c r="H106" i="1"/>
  <c r="H108" i="1"/>
  <c r="H110" i="1"/>
  <c r="H111" i="1"/>
  <c r="H150" i="1"/>
  <c r="H152" i="1"/>
  <c r="H153" i="1"/>
  <c r="H154" i="1"/>
  <c r="H156" i="1"/>
  <c r="H157" i="1"/>
  <c r="H164" i="1"/>
  <c r="H165" i="1"/>
  <c r="H166" i="1"/>
  <c r="H167" i="1"/>
  <c r="H169" i="1"/>
  <c r="H170" i="1"/>
  <c r="H171" i="1"/>
  <c r="H172" i="1"/>
  <c r="H173" i="1"/>
  <c r="F76" i="1"/>
  <c r="H76" i="1" s="1"/>
  <c r="F71" i="1"/>
  <c r="H71" i="1" s="1"/>
  <c r="F70" i="1"/>
  <c r="H70" i="1" s="1"/>
  <c r="F74" i="1"/>
  <c r="H74" i="1" s="1"/>
  <c r="F69" i="1"/>
  <c r="H69" i="1" s="1"/>
  <c r="H67" i="1"/>
  <c r="F45" i="5" l="1"/>
  <c r="E79" i="6"/>
  <c r="H79" i="6" s="1"/>
  <c r="D60" i="6"/>
  <c r="AY32" i="2"/>
  <c r="BB32" i="2" s="1"/>
  <c r="BE32" i="2" s="1"/>
  <c r="F58" i="1"/>
  <c r="H58" i="1" s="1"/>
  <c r="K37" i="5"/>
  <c r="E62" i="5"/>
  <c r="F63" i="5" s="1"/>
  <c r="G10" i="5"/>
  <c r="D18" i="5"/>
  <c r="G18" i="5" s="1"/>
  <c r="D30" i="5"/>
  <c r="D27" i="5" s="1"/>
  <c r="D11" i="5"/>
  <c r="I11" i="5" s="1"/>
  <c r="I21" i="5" s="1"/>
  <c r="D13" i="5"/>
  <c r="G12" i="5"/>
  <c r="H105" i="1"/>
  <c r="H12" i="1"/>
  <c r="G63" i="5" l="1"/>
  <c r="H60" i="6"/>
  <c r="J60" i="6"/>
  <c r="G26" i="5"/>
  <c r="D31" i="5"/>
  <c r="D25" i="5"/>
  <c r="I25" i="5" s="1"/>
  <c r="I35" i="5" s="1"/>
  <c r="I37" i="5" s="1"/>
  <c r="G27" i="5"/>
  <c r="H27" i="5" s="1"/>
  <c r="H35" i="5" s="1"/>
  <c r="H37" i="5" s="1"/>
  <c r="J28" i="5"/>
  <c r="J35" i="5" s="1"/>
  <c r="G13" i="5"/>
  <c r="H13" i="5" s="1"/>
  <c r="H21" i="5" s="1"/>
  <c r="J14" i="5"/>
  <c r="J21" i="5" s="1"/>
  <c r="H19" i="1"/>
  <c r="H2" i="1" s="1"/>
  <c r="N6" i="1" l="1"/>
  <c r="N8" i="1"/>
  <c r="N3" i="1"/>
  <c r="J37" i="5"/>
  <c r="G21" i="5"/>
  <c r="G31" i="5"/>
  <c r="D32" i="5"/>
  <c r="G32" i="5" s="1"/>
  <c r="G35" i="5" l="1"/>
  <c r="G37" i="5" s="1"/>
  <c r="N5" i="1" l="1"/>
  <c r="D36" i="2" l="1"/>
  <c r="K9" i="1"/>
  <c r="I85" i="1" s="1"/>
  <c r="J85" i="1" s="1"/>
  <c r="I44" i="1" l="1"/>
  <c r="J44" i="1" s="1"/>
  <c r="I36" i="1"/>
  <c r="J36" i="1" s="1"/>
  <c r="I33" i="1"/>
  <c r="J33" i="1" s="1"/>
  <c r="I43" i="1"/>
  <c r="J43" i="1" s="1"/>
  <c r="I61" i="1"/>
  <c r="J61" i="1" s="1"/>
  <c r="I42" i="1"/>
  <c r="J42" i="1" s="1"/>
  <c r="I41" i="1"/>
  <c r="J41" i="1" s="1"/>
  <c r="I342" i="1"/>
  <c r="J342" i="1" s="1"/>
  <c r="I341" i="1"/>
  <c r="J341" i="1" s="1"/>
  <c r="I108" i="1"/>
  <c r="J108" i="1" s="1"/>
  <c r="I340" i="1"/>
  <c r="J340" i="1" s="1"/>
  <c r="I56" i="1"/>
  <c r="J56" i="1" s="1"/>
  <c r="I251" i="1"/>
  <c r="J251" i="1" s="1"/>
  <c r="I144" i="1"/>
  <c r="J144" i="1" s="1"/>
  <c r="I317" i="1"/>
  <c r="J317" i="1" s="1"/>
  <c r="I86" i="1"/>
  <c r="J86" i="1" s="1"/>
  <c r="I304" i="1"/>
  <c r="J304" i="1" s="1"/>
  <c r="I173" i="1"/>
  <c r="J173" i="1" s="1"/>
  <c r="I31" i="1"/>
  <c r="J31" i="1" s="1"/>
  <c r="I216" i="1"/>
  <c r="J216" i="1" s="1"/>
  <c r="I286" i="1"/>
  <c r="J286" i="1" s="1"/>
  <c r="I69" i="1"/>
  <c r="J69" i="1" s="1"/>
  <c r="I107" i="1"/>
  <c r="J107" i="1" s="1"/>
  <c r="I67" i="1"/>
  <c r="J67" i="1" s="1"/>
  <c r="I343" i="1"/>
  <c r="J343" i="1" s="1"/>
  <c r="I245" i="1"/>
  <c r="J245" i="1" s="1"/>
  <c r="I190" i="1"/>
  <c r="J190" i="1" s="1"/>
  <c r="I215" i="1"/>
  <c r="J215" i="1" s="1"/>
  <c r="I312" i="1"/>
  <c r="J312" i="1" s="1"/>
  <c r="I357" i="1"/>
  <c r="J357" i="1" s="1"/>
  <c r="I198" i="1"/>
  <c r="J198" i="1" s="1"/>
  <c r="I90" i="1"/>
  <c r="J90" i="1" s="1"/>
  <c r="I365" i="1"/>
  <c r="J365" i="1" s="1"/>
  <c r="I199" i="1"/>
  <c r="J199" i="1" s="1"/>
  <c r="I293" i="1"/>
  <c r="J293" i="1" s="1"/>
  <c r="I240" i="1"/>
  <c r="J240" i="1" s="1"/>
  <c r="I14" i="1"/>
  <c r="J14" i="1" s="1"/>
  <c r="I162" i="1"/>
  <c r="J162" i="1" s="1"/>
  <c r="I172" i="1"/>
  <c r="J172" i="1" s="1"/>
  <c r="I159" i="1"/>
  <c r="J159" i="1" s="1"/>
  <c r="I78" i="1"/>
  <c r="J78" i="1" s="1"/>
  <c r="I58" i="1"/>
  <c r="J58" i="1" s="1"/>
  <c r="I96" i="1"/>
  <c r="J96" i="1" s="1"/>
  <c r="I280" i="1"/>
  <c r="J280" i="1" s="1"/>
  <c r="I138" i="1"/>
  <c r="J138" i="1" s="1"/>
  <c r="I186" i="1"/>
  <c r="J186" i="1" s="1"/>
  <c r="I181" i="1"/>
  <c r="J181" i="1" s="1"/>
  <c r="I154" i="1"/>
  <c r="J154" i="1" s="1"/>
  <c r="I30" i="1"/>
  <c r="J30" i="1" s="1"/>
  <c r="I89" i="1"/>
  <c r="J89" i="1" s="1"/>
  <c r="I197" i="1"/>
  <c r="J197" i="1" s="1"/>
  <c r="I82" i="1"/>
  <c r="J82" i="1" s="1"/>
  <c r="I281" i="1"/>
  <c r="J281" i="1" s="1"/>
  <c r="I208" i="1"/>
  <c r="J208" i="1" s="1"/>
  <c r="I204" i="1"/>
  <c r="J204" i="1" s="1"/>
  <c r="I358" i="1"/>
  <c r="J358" i="1" s="1"/>
  <c r="I75" i="1"/>
  <c r="J75" i="1" s="1"/>
  <c r="I367" i="1"/>
  <c r="J367" i="1" s="1"/>
  <c r="I200" i="1"/>
  <c r="J200" i="1" s="1"/>
  <c r="I206" i="1"/>
  <c r="J206" i="1" s="1"/>
  <c r="I193" i="1"/>
  <c r="J193" i="1" s="1"/>
  <c r="I60" i="1"/>
  <c r="J60" i="1" s="1"/>
  <c r="I187" i="1"/>
  <c r="J187" i="1" s="1"/>
  <c r="I57" i="1"/>
  <c r="J57" i="1" s="1"/>
  <c r="I88" i="1"/>
  <c r="J88" i="1" s="1"/>
  <c r="I168" i="1"/>
  <c r="J168" i="1" s="1"/>
  <c r="I229" i="1"/>
  <c r="J229" i="1" s="1"/>
  <c r="I95" i="1"/>
  <c r="J95" i="1" s="1"/>
  <c r="I278" i="1"/>
  <c r="J278" i="1" s="1"/>
  <c r="Q289" i="1"/>
  <c r="R289" i="1" s="1"/>
  <c r="I113" i="1"/>
  <c r="J113" i="1" s="1"/>
  <c r="I224" i="1"/>
  <c r="J224" i="1" s="1"/>
  <c r="I129" i="1"/>
  <c r="J129" i="1" s="1"/>
  <c r="I73" i="1"/>
  <c r="J73" i="1" s="1"/>
  <c r="I313" i="1"/>
  <c r="J313" i="1" s="1"/>
  <c r="I167" i="1"/>
  <c r="J167" i="1" s="1"/>
  <c r="I166" i="1"/>
  <c r="J166" i="1" s="1"/>
  <c r="I175" i="1"/>
  <c r="J175" i="1" s="1"/>
  <c r="I74" i="1"/>
  <c r="J74" i="1" s="1"/>
  <c r="I94" i="1"/>
  <c r="J94" i="1" s="1"/>
  <c r="I152" i="1"/>
  <c r="J152" i="1" s="1"/>
  <c r="I188" i="1"/>
  <c r="J188" i="1" s="1"/>
  <c r="I50" i="1"/>
  <c r="J50" i="1" s="1"/>
  <c r="I209" i="1"/>
  <c r="J209" i="1" s="1"/>
  <c r="I70" i="1"/>
  <c r="J70" i="1" s="1"/>
  <c r="I205" i="1"/>
  <c r="J205" i="1" s="1"/>
  <c r="I35" i="1"/>
  <c r="J35" i="1" s="1"/>
  <c r="I24" i="1"/>
  <c r="J24" i="1" s="1"/>
  <c r="I161" i="1"/>
  <c r="J161" i="1" s="1"/>
  <c r="I185" i="1"/>
  <c r="J185" i="1" s="1"/>
  <c r="I346" i="1"/>
  <c r="J346" i="1" s="1"/>
  <c r="I221" i="1"/>
  <c r="J221" i="1" s="1"/>
  <c r="I353" i="1"/>
  <c r="J353" i="1" s="1"/>
  <c r="I158" i="1"/>
  <c r="J158" i="1" s="1"/>
  <c r="I321" i="1"/>
  <c r="J321" i="1" s="1"/>
  <c r="I311" i="1"/>
  <c r="J311" i="1" s="1"/>
  <c r="I356" i="1"/>
  <c r="J356" i="1" s="1"/>
  <c r="I294" i="1"/>
  <c r="J294" i="1" s="1"/>
  <c r="I141" i="1"/>
  <c r="J141" i="1" s="1"/>
  <c r="K140" i="1" s="1"/>
  <c r="C23" i="2" s="1"/>
  <c r="AU23" i="2" s="1"/>
  <c r="I49" i="1"/>
  <c r="J49" i="1" s="1"/>
  <c r="I99" i="1"/>
  <c r="J99" i="1" s="1"/>
  <c r="I366" i="1"/>
  <c r="J366" i="1" s="1"/>
  <c r="I292" i="1"/>
  <c r="J292" i="1" s="1"/>
  <c r="I282" i="1"/>
  <c r="J282" i="1" s="1"/>
  <c r="I305" i="1"/>
  <c r="J305" i="1" s="1"/>
  <c r="I299" i="1"/>
  <c r="J299" i="1" s="1"/>
  <c r="I13" i="1"/>
  <c r="J13" i="1" s="1"/>
  <c r="I27" i="1"/>
  <c r="J27" i="1" s="1"/>
  <c r="I318" i="1"/>
  <c r="J318" i="1" s="1"/>
  <c r="I66" i="1"/>
  <c r="J66" i="1" s="1"/>
  <c r="I210" i="1"/>
  <c r="J210" i="1" s="1"/>
  <c r="J125" i="1"/>
  <c r="I237" i="1"/>
  <c r="J237" i="1" s="1"/>
  <c r="I51" i="1"/>
  <c r="J51" i="1" s="1"/>
  <c r="I106" i="1"/>
  <c r="J106" i="1" s="1"/>
  <c r="I218" i="1"/>
  <c r="J218" i="1" s="1"/>
  <c r="I110" i="1"/>
  <c r="J110" i="1" s="1"/>
  <c r="I380" i="1"/>
  <c r="J380" i="1" s="1"/>
  <c r="I319" i="1"/>
  <c r="J319" i="1" s="1"/>
  <c r="I145" i="1"/>
  <c r="J145" i="1" s="1"/>
  <c r="I32" i="1"/>
  <c r="J32" i="1" s="1"/>
  <c r="I127" i="1"/>
  <c r="J127" i="1" s="1"/>
  <c r="I164" i="1"/>
  <c r="J164" i="1" s="1"/>
  <c r="I21" i="1"/>
  <c r="J21" i="1" s="1"/>
  <c r="I135" i="1"/>
  <c r="J135" i="1" s="1"/>
  <c r="I81" i="1"/>
  <c r="J81" i="1" s="1"/>
  <c r="I111" i="1"/>
  <c r="J111" i="1" s="1"/>
  <c r="I26" i="1"/>
  <c r="J26" i="1" s="1"/>
  <c r="I314" i="1"/>
  <c r="J314" i="1" s="1"/>
  <c r="I124" i="1"/>
  <c r="J124" i="1" s="1"/>
  <c r="I212" i="1"/>
  <c r="J212" i="1" s="1"/>
  <c r="I249" i="1"/>
  <c r="J249" i="1" s="1"/>
  <c r="I325" i="1"/>
  <c r="J325" i="1" s="1"/>
  <c r="I258" i="1"/>
  <c r="J258" i="1" s="1"/>
  <c r="I19" i="1"/>
  <c r="J19" i="1" s="1"/>
  <c r="I369" i="1"/>
  <c r="J369" i="1" s="1"/>
  <c r="I335" i="1"/>
  <c r="J335" i="1" s="1"/>
  <c r="I97" i="1"/>
  <c r="J97" i="1" s="1"/>
  <c r="I303" i="1"/>
  <c r="J303" i="1" s="1"/>
  <c r="I316" i="1"/>
  <c r="J316" i="1" s="1"/>
  <c r="I242" i="1"/>
  <c r="J242" i="1" s="1"/>
  <c r="I246" i="1"/>
  <c r="J246" i="1" s="1"/>
  <c r="I133" i="1"/>
  <c r="J133" i="1" s="1"/>
  <c r="I352" i="1"/>
  <c r="J352" i="1" s="1"/>
  <c r="I302" i="1"/>
  <c r="J302" i="1" s="1"/>
  <c r="I271" i="1"/>
  <c r="J271" i="1" s="1"/>
  <c r="I260" i="1"/>
  <c r="J260" i="1" s="1"/>
  <c r="I207" i="1"/>
  <c r="J207" i="1" s="1"/>
  <c r="I174" i="1"/>
  <c r="J174" i="1" s="1"/>
  <c r="I98" i="1"/>
  <c r="J98" i="1" s="1"/>
  <c r="I379" i="1"/>
  <c r="J379" i="1" s="1"/>
  <c r="I223" i="1"/>
  <c r="J223" i="1" s="1"/>
  <c r="I25" i="1"/>
  <c r="J25" i="1" s="1"/>
  <c r="I196" i="1"/>
  <c r="J196" i="1" s="1"/>
  <c r="I184" i="1"/>
  <c r="J184" i="1" s="1"/>
  <c r="I191" i="1"/>
  <c r="J191" i="1" s="1"/>
  <c r="I350" i="1"/>
  <c r="J350" i="1" s="1"/>
  <c r="I59" i="1"/>
  <c r="J59" i="1" s="1"/>
  <c r="I109" i="1"/>
  <c r="J109" i="1" s="1"/>
  <c r="I20" i="1"/>
  <c r="J20" i="1" s="1"/>
  <c r="I160" i="1"/>
  <c r="J160" i="1" s="1"/>
  <c r="I53" i="1"/>
  <c r="J53" i="1" s="1"/>
  <c r="I378" i="1"/>
  <c r="J378" i="1" s="1"/>
  <c r="I156" i="1"/>
  <c r="J156" i="1" s="1"/>
  <c r="I100" i="1"/>
  <c r="J100" i="1" s="1"/>
  <c r="I324" i="1"/>
  <c r="J324" i="1" s="1"/>
  <c r="I192" i="1"/>
  <c r="J192" i="1" s="1"/>
  <c r="I76" i="1"/>
  <c r="J76" i="1" s="1"/>
  <c r="I37" i="1"/>
  <c r="J37" i="1" s="1"/>
  <c r="I170" i="1"/>
  <c r="J170" i="1" s="1"/>
  <c r="I101" i="1"/>
  <c r="J101" i="1" s="1"/>
  <c r="I368" i="1"/>
  <c r="J368" i="1" s="1"/>
  <c r="I326" i="1"/>
  <c r="J326" i="1" s="1"/>
  <c r="I52" i="1"/>
  <c r="J52" i="1" s="1"/>
  <c r="I307" i="1"/>
  <c r="J307" i="1" s="1"/>
  <c r="I287" i="1"/>
  <c r="J287" i="1" s="1"/>
  <c r="I22" i="1"/>
  <c r="J22" i="1" s="1"/>
  <c r="I72" i="1"/>
  <c r="J72" i="1" s="1"/>
  <c r="I306" i="1"/>
  <c r="J306" i="1" s="1"/>
  <c r="I268" i="1"/>
  <c r="J268" i="1" s="1"/>
  <c r="I320" i="1"/>
  <c r="J320" i="1" s="1"/>
  <c r="I29" i="1"/>
  <c r="J29" i="1" s="1"/>
  <c r="I310" i="1"/>
  <c r="J310" i="1" s="1"/>
  <c r="I189" i="1"/>
  <c r="J189" i="1" s="1"/>
  <c r="I117" i="1"/>
  <c r="J117" i="1" s="1"/>
  <c r="I18" i="1"/>
  <c r="J18" i="1" s="1"/>
  <c r="I333" i="1"/>
  <c r="J333" i="1" s="1"/>
  <c r="I256" i="1"/>
  <c r="J256" i="1" s="1"/>
  <c r="I262" i="1"/>
  <c r="J262" i="1" s="1"/>
  <c r="I211" i="1"/>
  <c r="J211" i="1" s="1"/>
  <c r="I136" i="1"/>
  <c r="J136" i="1" s="1"/>
  <c r="I39" i="1"/>
  <c r="J39" i="1" s="1"/>
  <c r="I114" i="1"/>
  <c r="J114" i="1" s="1"/>
  <c r="I195" i="1"/>
  <c r="J195" i="1" s="1"/>
  <c r="I123" i="1"/>
  <c r="J123" i="1" s="1"/>
  <c r="I225" i="1"/>
  <c r="J225" i="1" s="1"/>
  <c r="I332" i="1"/>
  <c r="J332" i="1" s="1"/>
  <c r="I180" i="1"/>
  <c r="J180" i="1" s="1"/>
  <c r="I87" i="1"/>
  <c r="J87" i="1" s="1"/>
  <c r="I183" i="1"/>
  <c r="J183" i="1" s="1"/>
  <c r="I233" i="1"/>
  <c r="J233" i="1" s="1"/>
  <c r="I315" i="1"/>
  <c r="J315" i="1" s="1"/>
  <c r="I165" i="1"/>
  <c r="J165" i="1" s="1"/>
  <c r="I359" i="1"/>
  <c r="J359" i="1" s="1"/>
  <c r="I270" i="1"/>
  <c r="J270" i="1" s="1"/>
  <c r="I68" i="1"/>
  <c r="J68" i="1" s="1"/>
  <c r="I375" i="1"/>
  <c r="J375" i="1" s="1"/>
  <c r="I265" i="1"/>
  <c r="J265" i="1" s="1"/>
  <c r="I157" i="1"/>
  <c r="J157" i="1" s="1"/>
  <c r="I309" i="1"/>
  <c r="J309" i="1" s="1"/>
  <c r="I150" i="1"/>
  <c r="J150" i="1" s="1"/>
  <c r="I279" i="1"/>
  <c r="J279" i="1" s="1"/>
  <c r="I214" i="1"/>
  <c r="J214" i="1" s="1"/>
  <c r="I104" i="1"/>
  <c r="J104" i="1" s="1"/>
  <c r="I103" i="1"/>
  <c r="J103" i="1" s="1"/>
  <c r="I283" i="1"/>
  <c r="J283" i="1" s="1"/>
  <c r="I169" i="1"/>
  <c r="J169" i="1" s="1"/>
  <c r="I222" i="1"/>
  <c r="J222" i="1" s="1"/>
  <c r="I12" i="1"/>
  <c r="J12" i="1" s="1"/>
  <c r="I327" i="1"/>
  <c r="J327" i="1" s="1"/>
  <c r="I71" i="1"/>
  <c r="J71" i="1" s="1"/>
  <c r="I297" i="1"/>
  <c r="J297" i="1" s="1"/>
  <c r="I171" i="1"/>
  <c r="J171" i="1" s="1"/>
  <c r="I213" i="1"/>
  <c r="J213" i="1" s="1"/>
  <c r="I277" i="1"/>
  <c r="J277" i="1" s="1"/>
  <c r="I105" i="1"/>
  <c r="J105" i="1" s="1"/>
  <c r="I102" i="1"/>
  <c r="J102" i="1" s="1"/>
  <c r="I339" i="1"/>
  <c r="J339" i="1" s="1"/>
  <c r="I194" i="1"/>
  <c r="J194" i="1" s="1"/>
  <c r="I253" i="1"/>
  <c r="J253" i="1" s="1"/>
  <c r="I155" i="1"/>
  <c r="J155" i="1" s="1"/>
  <c r="I153" i="1"/>
  <c r="J153" i="1" s="1"/>
  <c r="I288" i="1"/>
  <c r="J288" i="1" s="1"/>
  <c r="I220" i="1"/>
  <c r="J220" i="1" s="1"/>
  <c r="I182" i="1"/>
  <c r="J182" i="1" s="1"/>
  <c r="I118" i="1"/>
  <c r="J118" i="1" s="1"/>
  <c r="L7" i="1" l="1"/>
  <c r="L11" i="1"/>
  <c r="K11" i="1"/>
  <c r="L55" i="1"/>
  <c r="K55" i="1"/>
  <c r="C16" i="2" s="1"/>
  <c r="T16" i="2" s="1"/>
  <c r="L39" i="1"/>
  <c r="K8" i="1"/>
  <c r="L141" i="1"/>
  <c r="K63" i="1"/>
  <c r="C17" i="2" s="1"/>
  <c r="BA17" i="2" s="1"/>
  <c r="K34" i="1"/>
  <c r="C14" i="2" s="1"/>
  <c r="Q14" i="2" s="1"/>
  <c r="K345" i="1"/>
  <c r="C29" i="2" s="1"/>
  <c r="L346" i="1"/>
  <c r="L63" i="1"/>
  <c r="K92" i="1"/>
  <c r="C19" i="2" s="1"/>
  <c r="AL19" i="2" s="1"/>
  <c r="L93" i="1"/>
  <c r="L227" i="1"/>
  <c r="K39" i="1"/>
  <c r="C15" i="2" s="1"/>
  <c r="K361" i="1"/>
  <c r="C31" i="2" s="1"/>
  <c r="AO31" i="2" s="1"/>
  <c r="K203" i="1"/>
  <c r="C26" i="2" s="1"/>
  <c r="AL26" i="2" s="1"/>
  <c r="K80" i="1"/>
  <c r="C18" i="2" s="1"/>
  <c r="H18" i="2" s="1"/>
  <c r="K143" i="1"/>
  <c r="C24" i="2" s="1"/>
  <c r="T24" i="2" s="1"/>
  <c r="L144" i="1"/>
  <c r="L348" i="1"/>
  <c r="K348" i="1"/>
  <c r="C30" i="2" s="1"/>
  <c r="J382" i="1"/>
  <c r="L130" i="1"/>
  <c r="K130" i="1"/>
  <c r="C22" i="2" s="1"/>
  <c r="L80" i="1"/>
  <c r="K227" i="1"/>
  <c r="C27" i="2" s="1"/>
  <c r="K121" i="1"/>
  <c r="C21" i="2" s="1"/>
  <c r="L121" i="1"/>
  <c r="L338" i="1"/>
  <c r="K338" i="1"/>
  <c r="C28" i="2" s="1"/>
  <c r="L203" i="1"/>
  <c r="L361" i="1"/>
  <c r="L34" i="1"/>
  <c r="N23" i="2"/>
  <c r="AL23" i="2"/>
  <c r="BA23" i="2"/>
  <c r="Q23" i="2"/>
  <c r="Z23" i="2"/>
  <c r="BD23" i="2"/>
  <c r="W23" i="2"/>
  <c r="H23" i="2"/>
  <c r="AO23" i="2"/>
  <c r="AC23" i="2"/>
  <c r="T23" i="2"/>
  <c r="AF23" i="2"/>
  <c r="AR23" i="2"/>
  <c r="E23" i="2"/>
  <c r="K23" i="2"/>
  <c r="AI23" i="2"/>
  <c r="AX23" i="2"/>
  <c r="K377" i="1"/>
  <c r="C32" i="2" s="1"/>
  <c r="L377" i="1"/>
  <c r="L116" i="1"/>
  <c r="K116" i="1"/>
  <c r="C20" i="2" s="1"/>
  <c r="L178" i="1"/>
  <c r="K177" i="1"/>
  <c r="C25" i="2" s="1"/>
  <c r="L8" i="1" l="1"/>
  <c r="AL16" i="2"/>
  <c r="AU16" i="2"/>
  <c r="H16" i="2"/>
  <c r="BD16" i="2"/>
  <c r="AF16" i="2"/>
  <c r="AX16" i="2"/>
  <c r="Q16" i="2"/>
  <c r="BA16" i="2"/>
  <c r="AI16" i="2"/>
  <c r="Z16" i="2"/>
  <c r="N16" i="2"/>
  <c r="AO16" i="2"/>
  <c r="W16" i="2"/>
  <c r="E16" i="2"/>
  <c r="AC16" i="2"/>
  <c r="AR16" i="2"/>
  <c r="K16" i="2"/>
  <c r="T18" i="2"/>
  <c r="AF17" i="2"/>
  <c r="H17" i="2"/>
  <c r="Z17" i="2"/>
  <c r="BD17" i="2"/>
  <c r="AC17" i="2"/>
  <c r="AU17" i="2"/>
  <c r="AO17" i="2"/>
  <c r="N17" i="2"/>
  <c r="E17" i="2"/>
  <c r="AI17" i="2"/>
  <c r="T17" i="2"/>
  <c r="AR17" i="2"/>
  <c r="AX17" i="2"/>
  <c r="K17" i="2"/>
  <c r="Q17" i="2"/>
  <c r="AL17" i="2"/>
  <c r="W17" i="2"/>
  <c r="AR24" i="2"/>
  <c r="Z24" i="2"/>
  <c r="AL24" i="2"/>
  <c r="AI24" i="2"/>
  <c r="BA24" i="2"/>
  <c r="W24" i="2"/>
  <c r="AU24" i="2"/>
  <c r="AO18" i="2"/>
  <c r="E24" i="2"/>
  <c r="Z18" i="2"/>
  <c r="AI31" i="2"/>
  <c r="N24" i="2"/>
  <c r="N14" i="2"/>
  <c r="AO14" i="2"/>
  <c r="BA14" i="2"/>
  <c r="AX14" i="2"/>
  <c r="K14" i="2"/>
  <c r="E14" i="2"/>
  <c r="AU14" i="2"/>
  <c r="BD14" i="2"/>
  <c r="W14" i="2"/>
  <c r="H14" i="2"/>
  <c r="AR14" i="2"/>
  <c r="T14" i="2"/>
  <c r="AC14" i="2"/>
  <c r="Z14" i="2"/>
  <c r="AL14" i="2"/>
  <c r="AF14" i="2"/>
  <c r="BD31" i="2"/>
  <c r="AI14" i="2"/>
  <c r="N31" i="2"/>
  <c r="Z31" i="2"/>
  <c r="AU31" i="2"/>
  <c r="BA31" i="2"/>
  <c r="Q24" i="2"/>
  <c r="BD26" i="2"/>
  <c r="AL31" i="2"/>
  <c r="T31" i="2"/>
  <c r="Q31" i="2"/>
  <c r="AC31" i="2"/>
  <c r="H24" i="2"/>
  <c r="BD24" i="2"/>
  <c r="Z19" i="2"/>
  <c r="AC19" i="2"/>
  <c r="AF18" i="2"/>
  <c r="W31" i="2"/>
  <c r="E31" i="2"/>
  <c r="K24" i="2"/>
  <c r="AX24" i="2"/>
  <c r="K18" i="2"/>
  <c r="BA26" i="2"/>
  <c r="BA18" i="2"/>
  <c r="AX31" i="2"/>
  <c r="AF31" i="2"/>
  <c r="AF24" i="2"/>
  <c r="AC24" i="2"/>
  <c r="E18" i="2"/>
  <c r="AO26" i="2"/>
  <c r="AC26" i="2"/>
  <c r="BD19" i="2"/>
  <c r="AX19" i="2"/>
  <c r="W26" i="2"/>
  <c r="T26" i="2"/>
  <c r="AI19" i="2"/>
  <c r="Q19" i="2"/>
  <c r="AU18" i="2"/>
  <c r="W18" i="2"/>
  <c r="AL18" i="2"/>
  <c r="AR29" i="2"/>
  <c r="Z29" i="2"/>
  <c r="AI29" i="2"/>
  <c r="H29" i="2"/>
  <c r="N29" i="2"/>
  <c r="AL29" i="2"/>
  <c r="K29" i="2"/>
  <c r="BD29" i="2"/>
  <c r="AC29" i="2"/>
  <c r="E29" i="2"/>
  <c r="Q29" i="2"/>
  <c r="BA29" i="2"/>
  <c r="T29" i="2"/>
  <c r="AU29" i="2"/>
  <c r="AF29" i="2"/>
  <c r="AX29" i="2"/>
  <c r="AO29" i="2"/>
  <c r="W29" i="2"/>
  <c r="AU26" i="2"/>
  <c r="W19" i="2"/>
  <c r="Z26" i="2"/>
  <c r="AF26" i="2"/>
  <c r="E19" i="2"/>
  <c r="T19" i="2"/>
  <c r="K19" i="2"/>
  <c r="AX18" i="2"/>
  <c r="AI18" i="2"/>
  <c r="Q26" i="2"/>
  <c r="E26" i="2"/>
  <c r="H19" i="2"/>
  <c r="AO19" i="2"/>
  <c r="N26" i="2"/>
  <c r="BA19" i="2"/>
  <c r="AR19" i="2"/>
  <c r="BD18" i="2"/>
  <c r="Q18" i="2"/>
  <c r="AR31" i="2"/>
  <c r="H31" i="2"/>
  <c r="AR26" i="2"/>
  <c r="H26" i="2"/>
  <c r="AX26" i="2"/>
  <c r="AF19" i="2"/>
  <c r="AU19" i="2"/>
  <c r="AR18" i="2"/>
  <c r="AC18" i="2"/>
  <c r="K31" i="2"/>
  <c r="AO24" i="2"/>
  <c r="AI26" i="2"/>
  <c r="K26" i="2"/>
  <c r="N19" i="2"/>
  <c r="N18" i="2"/>
  <c r="C13" i="2"/>
  <c r="K382" i="1"/>
  <c r="AX15" i="2"/>
  <c r="E15" i="2"/>
  <c r="AR15" i="2"/>
  <c r="AU15" i="2"/>
  <c r="AF15" i="2"/>
  <c r="BD15" i="2"/>
  <c r="BA15" i="2"/>
  <c r="T15" i="2"/>
  <c r="K15" i="2"/>
  <c r="AL15" i="2"/>
  <c r="AC15" i="2"/>
  <c r="Q15" i="2"/>
  <c r="H15" i="2"/>
  <c r="Z15" i="2"/>
  <c r="AO15" i="2"/>
  <c r="N15" i="2"/>
  <c r="W15" i="2"/>
  <c r="AI15" i="2"/>
  <c r="W25" i="2"/>
  <c r="AU25" i="2"/>
  <c r="AO25" i="2"/>
  <c r="AF25" i="2"/>
  <c r="E25" i="2"/>
  <c r="AL25" i="2"/>
  <c r="AR25" i="2"/>
  <c r="K25" i="2"/>
  <c r="BA25" i="2"/>
  <c r="Q25" i="2"/>
  <c r="AI25" i="2"/>
  <c r="AC25" i="2"/>
  <c r="AX25" i="2"/>
  <c r="BD25" i="2"/>
  <c r="N25" i="2"/>
  <c r="Z25" i="2"/>
  <c r="T25" i="2"/>
  <c r="H25" i="2"/>
  <c r="AL32" i="2"/>
  <c r="Z32" i="2"/>
  <c r="W32" i="2"/>
  <c r="N32" i="2"/>
  <c r="Q32" i="2"/>
  <c r="AC32" i="2"/>
  <c r="AR32" i="2"/>
  <c r="BA32" i="2"/>
  <c r="AO32" i="2"/>
  <c r="AU32" i="2"/>
  <c r="AF32" i="2"/>
  <c r="BD32" i="2"/>
  <c r="K32" i="2"/>
  <c r="H32" i="2"/>
  <c r="E32" i="2"/>
  <c r="AI32" i="2"/>
  <c r="T32" i="2"/>
  <c r="AX32" i="2"/>
  <c r="BA22" i="2"/>
  <c r="T22" i="2"/>
  <c r="Q22" i="2"/>
  <c r="AC22" i="2"/>
  <c r="N22" i="2"/>
  <c r="BD22" i="2"/>
  <c r="AF22" i="2"/>
  <c r="AL22" i="2"/>
  <c r="K22" i="2"/>
  <c r="H22" i="2"/>
  <c r="AU22" i="2"/>
  <c r="AI22" i="2"/>
  <c r="E22" i="2"/>
  <c r="AX22" i="2"/>
  <c r="AR22" i="2"/>
  <c r="W22" i="2"/>
  <c r="AO22" i="2"/>
  <c r="Z22" i="2"/>
  <c r="W20" i="2"/>
  <c r="BD20" i="2"/>
  <c r="H20" i="2"/>
  <c r="AI20" i="2"/>
  <c r="Q20" i="2"/>
  <c r="T20" i="2"/>
  <c r="AC20" i="2"/>
  <c r="N20" i="2"/>
  <c r="AX20" i="2"/>
  <c r="AR20" i="2"/>
  <c r="Z20" i="2"/>
  <c r="AF20" i="2"/>
  <c r="AL20" i="2"/>
  <c r="E20" i="2"/>
  <c r="BA20" i="2"/>
  <c r="K20" i="2"/>
  <c r="AO20" i="2"/>
  <c r="AU20" i="2"/>
  <c r="O80" i="1"/>
  <c r="O9" i="1"/>
  <c r="Z21" i="2"/>
  <c r="W21" i="2"/>
  <c r="H21" i="2"/>
  <c r="AF21" i="2"/>
  <c r="E21" i="2"/>
  <c r="AO21" i="2"/>
  <c r="N21" i="2"/>
  <c r="AX21" i="2"/>
  <c r="AR21" i="2"/>
  <c r="Q21" i="2"/>
  <c r="AL21" i="2"/>
  <c r="BA21" i="2"/>
  <c r="AU21" i="2"/>
  <c r="AC21" i="2"/>
  <c r="AI21" i="2"/>
  <c r="K21" i="2"/>
  <c r="T21" i="2"/>
  <c r="BD21" i="2"/>
  <c r="K28" i="2"/>
  <c r="Z28" i="2"/>
  <c r="AX28" i="2"/>
  <c r="H28" i="2"/>
  <c r="AI28" i="2"/>
  <c r="BA28" i="2"/>
  <c r="W28" i="2"/>
  <c r="AU28" i="2"/>
  <c r="AF28" i="2"/>
  <c r="Q28" i="2"/>
  <c r="AL28" i="2"/>
  <c r="N28" i="2"/>
  <c r="AR28" i="2"/>
  <c r="T28" i="2"/>
  <c r="AC28" i="2"/>
  <c r="BD28" i="2"/>
  <c r="E28" i="2"/>
  <c r="AO28" i="2"/>
  <c r="N27" i="2"/>
  <c r="AF27" i="2"/>
  <c r="T27" i="2"/>
  <c r="Z27" i="2"/>
  <c r="AC27" i="2"/>
  <c r="AO27" i="2"/>
  <c r="H27" i="2"/>
  <c r="AX27" i="2"/>
  <c r="E27" i="2"/>
  <c r="K27" i="2"/>
  <c r="Q27" i="2"/>
  <c r="AL27" i="2"/>
  <c r="AU27" i="2"/>
  <c r="AR27" i="2"/>
  <c r="AI27" i="2"/>
  <c r="W27" i="2"/>
  <c r="BA27" i="2"/>
  <c r="BD27" i="2"/>
  <c r="E30" i="2"/>
  <c r="T30" i="2"/>
  <c r="Z30" i="2"/>
  <c r="AX30" i="2"/>
  <c r="Q30" i="2"/>
  <c r="N30" i="2"/>
  <c r="BA30" i="2"/>
  <c r="AC30" i="2"/>
  <c r="AF30" i="2"/>
  <c r="BD30" i="2"/>
  <c r="H30" i="2"/>
  <c r="AU30" i="2"/>
  <c r="AO30" i="2"/>
  <c r="AR30" i="2"/>
  <c r="AI30" i="2"/>
  <c r="K30" i="2"/>
  <c r="W30" i="2"/>
  <c r="AL30" i="2"/>
  <c r="W13" i="2" l="1"/>
  <c r="W34" i="2" s="1"/>
  <c r="K13" i="2"/>
  <c r="K34" i="2" s="1"/>
  <c r="AC13" i="2"/>
  <c r="AC34" i="2" s="1"/>
  <c r="C34" i="2"/>
  <c r="BA13" i="2"/>
  <c r="BA34" i="2" s="1"/>
  <c r="H13" i="2"/>
  <c r="H34" i="2" s="1"/>
  <c r="AF13" i="2"/>
  <c r="AF34" i="2" s="1"/>
  <c r="BD13" i="2"/>
  <c r="BD34" i="2" s="1"/>
  <c r="AU13" i="2"/>
  <c r="AU34" i="2" s="1"/>
  <c r="AO13" i="2"/>
  <c r="AO34" i="2" s="1"/>
  <c r="AR13" i="2"/>
  <c r="AR34" i="2" s="1"/>
  <c r="AL13" i="2"/>
  <c r="AL34" i="2" s="1"/>
  <c r="Q13" i="2"/>
  <c r="Q34" i="2" s="1"/>
  <c r="AX13" i="2"/>
  <c r="E13" i="2"/>
  <c r="E34" i="2" s="1"/>
  <c r="Z13" i="2"/>
  <c r="Z34" i="2" s="1"/>
  <c r="AI13" i="2"/>
  <c r="AI34" i="2" s="1"/>
  <c r="N13" i="2"/>
  <c r="N34" i="2" s="1"/>
  <c r="T13" i="2"/>
  <c r="T34" i="2" s="1"/>
  <c r="AO35" i="2" l="1"/>
  <c r="AI35" i="2"/>
  <c r="N35" i="2"/>
  <c r="T35" i="2"/>
  <c r="AL35" i="2"/>
  <c r="BA35" i="2"/>
  <c r="H35" i="2"/>
  <c r="W35" i="2"/>
  <c r="AR35" i="2"/>
  <c r="M36" i="2"/>
  <c r="G36" i="2"/>
  <c r="F8" i="2"/>
  <c r="P36" i="2"/>
  <c r="AB36" i="2"/>
  <c r="AH36" i="2"/>
  <c r="AE36" i="2"/>
  <c r="AQ36" i="2"/>
  <c r="S36" i="2"/>
  <c r="Y36" i="2"/>
  <c r="AZ36" i="2"/>
  <c r="AT36" i="2"/>
  <c r="AW36" i="2"/>
  <c r="J36" i="2"/>
  <c r="BC36" i="2"/>
  <c r="AK36" i="2"/>
  <c r="AN36" i="2"/>
  <c r="V36" i="2"/>
  <c r="E36" i="2"/>
  <c r="H36" i="2" s="1"/>
  <c r="E35" i="2"/>
  <c r="AF35" i="2"/>
  <c r="AU35" i="2"/>
  <c r="K35" i="2"/>
  <c r="AC35" i="2"/>
  <c r="Q35" i="2"/>
  <c r="AX35" i="2"/>
  <c r="Z35" i="2"/>
  <c r="BD35" i="2"/>
  <c r="H37" i="2" l="1"/>
  <c r="K36" i="2"/>
  <c r="K37" i="2" l="1"/>
  <c r="N36" i="2"/>
  <c r="N37" i="2" l="1"/>
  <c r="Q36" i="2"/>
  <c r="Q37" i="2" l="1"/>
  <c r="T36" i="2"/>
  <c r="T37" i="2" l="1"/>
  <c r="W36" i="2"/>
  <c r="W37" i="2" l="1"/>
  <c r="Z36" i="2"/>
  <c r="Z37" i="2" l="1"/>
  <c r="AC36" i="2"/>
  <c r="AC37" i="2" l="1"/>
  <c r="AF36" i="2"/>
  <c r="AF37" i="2" l="1"/>
  <c r="AI36" i="2"/>
  <c r="AI37" i="2" l="1"/>
  <c r="AL36" i="2"/>
  <c r="AL37" i="2" l="1"/>
  <c r="AO36" i="2"/>
  <c r="AO37" i="2" l="1"/>
  <c r="AR36" i="2"/>
  <c r="AR37" i="2" l="1"/>
  <c r="AU36" i="2"/>
  <c r="AU37" i="2" l="1"/>
  <c r="AX36" i="2"/>
  <c r="AX37" i="2" l="1"/>
  <c r="BA36" i="2"/>
  <c r="BA37" i="2" l="1"/>
  <c r="BD36" i="2"/>
  <c r="BD37" i="2" s="1"/>
</calcChain>
</file>

<file path=xl/sharedStrings.xml><?xml version="1.0" encoding="utf-8"?>
<sst xmlns="http://schemas.openxmlformats.org/spreadsheetml/2006/main" count="2381" uniqueCount="1099">
  <si>
    <t>Universidade Estadual do Norte do Paraná - UENP</t>
  </si>
  <si>
    <t>ITEM</t>
  </si>
  <si>
    <t>SERVIÇOS PRELIMINARES</t>
  </si>
  <si>
    <t>m</t>
  </si>
  <si>
    <t>kg</t>
  </si>
  <si>
    <t>3.1</t>
  </si>
  <si>
    <t>pç</t>
  </si>
  <si>
    <t>ORÇAMENTO</t>
  </si>
  <si>
    <t>m²</t>
  </si>
  <si>
    <t>m³</t>
  </si>
  <si>
    <t xml:space="preserve">PLANILHA ORÇAMENTÁRIA </t>
  </si>
  <si>
    <t>CRONOGRAMA FÍSICO-FINANCEIRO</t>
  </si>
  <si>
    <t>AREA CONSTRUIDA:</t>
  </si>
  <si>
    <t>DESCRIÇÃO DOS SERVIÇOS</t>
  </si>
  <si>
    <t>VALOR DOS</t>
  </si>
  <si>
    <t>SERVIÇOS A EXECUTAR-EM %</t>
  </si>
  <si>
    <t>SERVIÇOS(R$)</t>
  </si>
  <si>
    <t>TOTAL SIMPLES EM R$</t>
  </si>
  <si>
    <t>TOTAL SIMPLES EM %</t>
  </si>
  <si>
    <t>TOTAL ACUMULADO EM R$</t>
  </si>
  <si>
    <t>TOTAL ACUMULADO EM %</t>
  </si>
  <si>
    <t>ENG./CREA-ASSINATURA</t>
  </si>
  <si>
    <t xml:space="preserve">VALOR DA OBRA: </t>
  </si>
  <si>
    <t>OBRA</t>
  </si>
  <si>
    <t>LOCAL</t>
  </si>
  <si>
    <t>LOCAL, DATA</t>
  </si>
  <si>
    <t>UNID</t>
  </si>
  <si>
    <t>QUANT.</t>
  </si>
  <si>
    <t>TOTAL ITEM   c/BDI</t>
  </si>
  <si>
    <t>74202/1</t>
  </si>
  <si>
    <t>Local: UENP-Campus Cornélio Procópio</t>
  </si>
  <si>
    <t xml:space="preserve">                             Campus Cornélio Procópio                -        C.Procópios/PR</t>
  </si>
  <si>
    <t>BLOCO SALAS DE PESQ.DOS PROFESSORES</t>
  </si>
  <si>
    <t xml:space="preserve">                             Campus Cornélio Procópio               -            C.Procópio/PR</t>
  </si>
  <si>
    <t>1.1/2"</t>
  </si>
  <si>
    <t>3/4"</t>
  </si>
  <si>
    <t>1"</t>
  </si>
  <si>
    <t>Eletroduto pesado</t>
  </si>
  <si>
    <t>2.1/2"</t>
  </si>
  <si>
    <t>Lógica - Acessórios p/ eletrodutos</t>
  </si>
  <si>
    <t>Tomada p/ cabo coaxial</t>
  </si>
  <si>
    <t>Lógica - Eletroduto PVC flexível</t>
  </si>
  <si>
    <t>Telefônica (dutos) - Acessórios p/ eletrodutos</t>
  </si>
  <si>
    <t>Telefônica (dutos) - Eletroduto PVC flexível</t>
  </si>
  <si>
    <t>Tubos</t>
  </si>
  <si>
    <t>6 pç</t>
  </si>
  <si>
    <t xml:space="preserve">                                      Decreto Estadual n.º3909, Publicado no Diario Oficial do Estado do Paraná em 01/12/08    </t>
  </si>
  <si>
    <t>UENP-CORNÉLIO PRODÓPIO</t>
  </si>
  <si>
    <t xml:space="preserve">74209/1 </t>
  </si>
  <si>
    <t>COD.</t>
  </si>
  <si>
    <t>Obra: Construção: BLOCO DE SALAS</t>
  </si>
  <si>
    <t>73859/1</t>
  </si>
  <si>
    <t>DESMATAMENTO E LIMPEZA MECANIZADA DE TERRENO COM REMOCAO DE CAMADA VEGETAL,UTILIZANDO TRATOR DE ESTEIRAS</t>
  </si>
  <si>
    <t>EXECUÇÃO DE ALMOXARIFADO EM CANTEIRO DE OBRA EM CHAPA DE MADEIRA COMPENSADA, INCLUSO PRATELEIRAS. AF_02/2016</t>
  </si>
  <si>
    <t>PONTO DE CONSUMO TERMINAL DE ÁGUA FRIA (SUBRAMAL) COM TUBULAÇÃO DE PVC, DN 25 MM,</t>
  </si>
  <si>
    <t xml:space="preserve"> un.</t>
  </si>
  <si>
    <t>PONTO DE UTILIZAÇÃO DE EQUIPAMENTOS ELÉTRICOS, RESIDENCIAL, INCLUINDO SUPORTE E PLACA, CAIXA ELÉTRICA, ELETRODUTO, CABO, RASGO, QUEBRA E CHUMBAMENTO. AF_01/2016</t>
  </si>
  <si>
    <t>LOCACAO  DE OBRA, ATRAVÉS DE GABARITO DE TABUAS CORRIDAS COM REAPROVEITAMENTOS (6.197,0m²)</t>
  </si>
  <si>
    <t>PLACA DE OBRA EM CHAPA DE ACO GALVANIZADO M2 286,67 37,18 323,85</t>
  </si>
  <si>
    <t xml:space="preserve"> TABUA MADEIRA 3A QUALIDADE 2,5 X 23,0CM (1 X 9") NAO APARELHADA </t>
  </si>
  <si>
    <t xml:space="preserve"> CAIBRO DE MADEIRA NATIVA/REGIONAL 5 X 5 CM NAO APARELHADA (P/FORMA)</t>
  </si>
  <si>
    <t>FOSSA SÉPTICA EM ALVENARIA DE TIJOLO CERÂMICO MACIÇO, DIMENSÕES EXTERNAS DE 1,90X1,10X1,40 M, VOLUME DE 1.500 LITROS, REVESTIDO INTERNAMENTE COM MASSA ÚNICA E IMPERMEABILIZANTE E COM TAMPA DE CONCRETO ARMADO COM ESPESSURA DE 8 CM UN 796,23 528,61 1.324,84</t>
  </si>
  <si>
    <t>74198/1</t>
  </si>
  <si>
    <t>SUMIDOURO EM ALVENARIA DE TIJOLO CERAMICO MACICO DIAMETRO 1,20M E ALTURA 5,00M,COM TAMPA EM CONCRETO ARMADO DIAMETRO 1,40M E ESPESSURA 10CMUN 619,05 578,03 1.197,08</t>
  </si>
  <si>
    <t>79480 ESCAVACAO MECANICA CAMPO ABERTO EM SOLO EXCETO ROCHA ATE 2,00M PROFUNDIDADE M3 2,55 0,24 2,79</t>
  </si>
  <si>
    <t>TUBULAÇÃO [DESVIO DE ESGOTO] =  (210 M LINEAR) + 9 CX DE PASSAGEM</t>
  </si>
  <si>
    <t>74104/1</t>
  </si>
  <si>
    <t>CAIXA DE INSPEÇÃO EM ALVENARIA DE TIJOLO MACIÇO 60X60X60CM, REVESTIDA INTERNAMENTO COM BARRA LISA (CIMENTO E AREIA, TRAÇO 1:4) E=2,0CM, COM TAMPA PRÉ-MOLDADA DE CONCRETO E FUNDO DE CONCRETO 15MPA TIPO C - ESCAVAÇÃO E CONFECÇÃO</t>
  </si>
  <si>
    <t>73888/3 ASSENTAMENTO TUBO PVC COM JUNTA ELASTICA, DN 100 MM - (OU RPVC, OU PVC DEFOFO)</t>
  </si>
  <si>
    <t xml:space="preserve">73888/3 </t>
  </si>
  <si>
    <t>MOVIMENTO DE TERRA</t>
  </si>
  <si>
    <t>74155/2</t>
  </si>
  <si>
    <t>COMPACTACAO MECANICA A 100% DO PROCTOR NORMAL - PAVIMENTACAO URBANA</t>
  </si>
  <si>
    <t>COMPOSIÇÃO 1</t>
  </si>
  <si>
    <t>ESTRUTURA METÁLICA</t>
  </si>
  <si>
    <t>ESTRUTURA METALICA EM TESOURAS OU TRELICAS, VAO LIVRE DE 12M, FORNECIMENTO E</t>
  </si>
  <si>
    <t>MONTAGEM, NAO SENDO CONSIDERADOS OS FECHAMENTOS METALICOS, AS COLUNAS, OS</t>
  </si>
  <si>
    <t>SERVICOS GERAIS EM ALVENARIA E CONCRETO, AS TELHAS DE COBERTURA E A PINTURA DE</t>
  </si>
  <si>
    <t>M2 61,52 14,16 75,68</t>
  </si>
  <si>
    <t>94216 TELHAMENTO COM TELHA METÁLICA TERMOACÚSTICA E = 30 MM, COM ATÉ 2 ÁGUAS, INCLUSO M2 91,70 1,42 93,12</t>
  </si>
  <si>
    <t>TELHAMENTO</t>
  </si>
  <si>
    <t>ALVENARIA DE VEDAÇÃO DE BLOCOS CERÂMICOS FURADOS NA HORIZONTAL DE 14X9X19CM (ESPESSURA 14CM, BLOCO DEITADO) DE PAREDES COM ÁREA LÍQUIDA MAIOR OU IGUAL A 6M² SEM VÃOS E ARGAMASSA DE ASSENTAMENTO COM PREPARO EM BETONEIRA. AF_06/2014</t>
  </si>
  <si>
    <t>MATEMÁTICA</t>
  </si>
  <si>
    <t>ESCVAÇÃO PARA FUNDAÇÃO</t>
  </si>
  <si>
    <t/>
  </si>
  <si>
    <t xml:space="preserve">74157/4 </t>
  </si>
  <si>
    <t>CONCRETO FCK = 20MPA, TRAÇO 1:2,7:3 (CIMENTO/ AREIA MÉDIA/ BRITA 1) - PREPARO MECÂNICO COM BETONEIRA 600 L. AF_07/2016 [FUNDAÇÃO]</t>
  </si>
  <si>
    <t>MONTAGEM E DESMONTAGEM DE FÔRMA DE PILARES RETANGULARES E ESTRUTURAS SIMILARES COM ÁREA MÉDIA DAS SEÇÕES MAIOR QUE 0,25 M², PÉ-DIREITO SIMPLES, EM CHAPA DE MADEIRA COMPENSADA PLASTIFICADA, 10 UTILIZAÇÕES. AF_12/2015 M2 19,81 14,34 34,15</t>
  </si>
  <si>
    <t>ARMAÇÃO DE PILAR OU VIGA DE UMA ESTRUTURA CONVENCIONAL DE CONCRETO ARMADO EM UMA EDIFÍCAÇÃO TÉRREA OU SOBRADO UTILIZANDO AÇO CA-50 DE 10.0 MM - MONTAGEM. KG 4,74 3,42 8,16</t>
  </si>
  <si>
    <t>74202/2</t>
  </si>
  <si>
    <t>LAJE PRE-MOLDADA P/FORRO, SOBRECARGA 100KG/M2, VAOS ATE 3,50M/E=8CM, C/LAJOTAS E CAP.C/CONC FCK=20MPA, 3CM, INTER-EIXO 38CM, C/ESCORAMENTO  CAP.C/CONC FCK=20MPA, 3CM, INTER-EIXO 38CM, C/ESCORAMENTO (REAPR.3X) E FERRAGEM(REAPR.3X) E FERRAGEM</t>
  </si>
  <si>
    <t xml:space="preserve">BDI = </t>
  </si>
  <si>
    <t>73888/1 ASSENTAMENTO TUBO PVC COM JUNTA ELASTICA, DN 50 MM - (OU RPVC, OU PVC DEFOFO, OU M 0,50 1,25 1,75</t>
  </si>
  <si>
    <t>73888/1</t>
  </si>
  <si>
    <t>73888/1 ASSENTAMENTO TUBO PVC COM JUNTA ELASTICA, DN 40 MM - (OU RPVC, OU PVC DEFOFO, OU M 0,50 1,25 1,75</t>
  </si>
  <si>
    <t>JOELHO 90 GRAUS, PVC, SERIE NORMAL, ESGOTO PREDIAL, DN 40 MM, JUNTA SOLDÁVEL, FORNECIDO E INSTALADO EM RAMAL DE DESCARGA OU RAMAL DE ESGOTO SANITÁRIO. AF_12/2014</t>
  </si>
  <si>
    <t>JOELHO 90 GRAUS, PVC, SERIE NORMAL, ESGOTO PREDIAL, DN 50 MM, JUNTA ELÁSTICA,FORNECIDO E INSTALADO EM RAMAL DE DESCARGA OU RAMAL DE ESGOTO SANITÁRIO. AF_12/2014</t>
  </si>
  <si>
    <t>JOELHO 45 GRAUS, PVC, SERIE NORMAL, ESGOTO PREDIAL, DN 40 MM, JUNTA SOLDÁVEL, FORNECIDO E INSTALADO EM RAMAL DE DESCARGA OU RAMAL DE ESGOTO SANITÁRIO. AF_12/2014</t>
  </si>
  <si>
    <t>JOELHO 45 GRAUS, PVC, SERIE NORMAL, ESGOTO PREDIAL, DN 50 MM, JUNTA SOLDÁVEL, FORNECIDO E INSTALADO EM RAMAL DE DESCARGA OU RAMAL DE ESGOTO SANITÁRIO. AF_12/2014</t>
  </si>
  <si>
    <t>JOELHO 45 GRAUS, PVC, SERIE NORMAL, ESGOTO PREDIAL, DN 100 MM, JUNTA ELÁSTICA, FORNECIDO E INSTALADO EM RAMAL DE DESCARGA OU RAMAL DE ESGOTO SANITÁRIO. AF_12/2014</t>
  </si>
  <si>
    <t>Joelho 90 c/ visita 100 mm - 50 mm FORNECIDO E INSTALADO EM RAMAL DE DESCARGA OU RAMAL DE ESGOTO SANITÁRIO. AF_12/2014</t>
  </si>
  <si>
    <t>JUNÇÃO SIMPLES, PVC, SERIE NORMAL, ESGOTO PREDIAL, DN 50 X 50 MM, JUNTA ELÁSTICA,</t>
  </si>
  <si>
    <t>LUVA SIMPLES, PVC, SERIE NORMAL, ESGOTO PREDIAL, DN 50 MM, JUNTA ELÁSTICA, FORNECIDO E</t>
  </si>
  <si>
    <t>LUVA SIMPLES, PVC, SERIE NORMAL, ESGOTO PREDIAL, DN 40 MM, JUNTA ELÁSTICA, FORNECIDO E</t>
  </si>
  <si>
    <t>LUVA SIMPLES, PVC, SERIE NORMAL, ESGOTO PREDIAL, DN1000 MM, JUNTA ELÁSTICA, FORNECIDO E</t>
  </si>
  <si>
    <t>TE, PVC, SERIE NORMAL, ESGOTO PREDIAL, DN 100 X 100 MM, JUNTA ELÁSTICA, FORNECIDO E INSTALADO EM PRUMADA DE ESGOTO SANITÁRIO OU VENTILAÇÃO. AF_12/2014</t>
  </si>
  <si>
    <t>TE, PVC, SERIE NORMAL, ESGOTO PREDIAL, DN 100 X 50 MM, JUNTA ELÁSTICA, FORNECIDO E INSTALADO EM PRUMADA DE ESGOTO SANITÁRIO OU VENTILAÇÃO. AF_12/2014</t>
  </si>
  <si>
    <t>RALO SIFONADO, PVC, DN 100 X 40 MM, JUNTA SOLDÁVEL, FORNECIDO E INSTALADO EM RAMAL DE DESCARGA OU EM RAMAL DE ESGOTO SANITÁRIO. AF_12/2014</t>
  </si>
  <si>
    <t>ATERRO E CONTRAPISO INTERNO</t>
  </si>
  <si>
    <t>CHAPISCO APLICADO EM ALVENARIAS E ESTRUTURAS DE CONCRETO INTERNAS, COM ROLO PARA TEXTURA ACRÍLICA. ARGAMASSA TRAÇO 1:4 E EMULSÃO POLIMÉRICA (ADESIVO) COM PREPARO</t>
  </si>
  <si>
    <t>MAT+MO</t>
  </si>
  <si>
    <t>(COMPOSIÇÃO REPRESENTATIVA) DO SERVIÇO DE EMBOÇO/MASSA ÚNICA, TRAÇO 1:2:8, PREPARO MECÂNICO, COM BETONEIRA DE 400L, EM PAREDES DE AMBIENTES INTERNOS, COM EXECUÇÃO DE TALISCAS, PARA EDIFICAÇÃO HABITACIONAL MULTIFAMILIAR (PRÉDIO). AF_11/2014</t>
  </si>
  <si>
    <t>ÁGUA FRIA</t>
  </si>
  <si>
    <t>Alimentação - PVC rígido soldável</t>
  </si>
  <si>
    <t>25 mm</t>
  </si>
  <si>
    <t>25mmx 1/2"</t>
  </si>
  <si>
    <t>Água fria - Metais</t>
  </si>
  <si>
    <t xml:space="preserve"> CHUVEIRO ELETRICO COMUM CORPO PLASTICO TIPO DUCHA, FORNECIMENTO E INSTALACAO</t>
  </si>
  <si>
    <t>VASO SANITÁRIO SIFONADO COM CAIXA ACOPLADA LOUÇA BRANCA, INCLUSO ASSENTO PLÁSTICO BRANCO,  ENGATE FLEXÍVEL , 1/2 X 40CM - FORNECIMENTO E INSTALAÇÃO. AF_12/2013</t>
  </si>
  <si>
    <t>KIT DE REGISTRO DE GAVETA BRUTO DE LATÃO ¾", INCLUSIVE CONEXÕES, ROSCÁVEL, INSTALADO EM RAMAL DE ÁGUA FRIA - FORNECIMENTO E INSTALAÇÃO. AF_12/2014</t>
  </si>
  <si>
    <t>REGISTRO DE PRESSÃO BRUTO, LATÃO, ROSCÁVEL, 1/2", COM ACABAMENTO E CANOPLA CROMADOS. FORNECIDO E INSTALADO EM RAMAL DE ÁGUA. AF_12/2014</t>
  </si>
  <si>
    <t>REGISTRO DE GAVETA BRUTO, LATÃO, ROSCÁVEL, 3/4", COM ACABAMENTO E CANOPLA CROMADOS. FORNECIDO E INSTALADO EM RAMAL DE ÁGUA. AF_12/2014</t>
  </si>
  <si>
    <t>REGISTRO DE GAVETA BRUTO, LATÃO, ROSCÁVEL, 1 1/2, INSTALADO EM RESERVAÇÃO DE ÁGUA DE EDIFICAÇÃO QUE POSSUA RESERVATÓRIO DE FIBRA/FIBROCIMENTO  FORNECIMENTO E</t>
  </si>
  <si>
    <t>CONECTOR EM BRONZE/LATÃO, SEM ANEL DE SOLDA, BOLSA X ROSCA F, 28 MM X 1/2, INSTALADO EM PRUMADA FORNECIMENTO E INSTALAÇÃO. AF_01/2016_P</t>
  </si>
  <si>
    <t>JOELHO 45 GRAUS, PVC, SOLDÁVEL, DN 25MM, INSTALADO EM RAMAL OU SUB-RAMAL DE ÁGUA -FORNECIMENTO E INSTALAÇÃO. AF_12/2014</t>
  </si>
  <si>
    <t>JOELHO 90 GRAUS, PVC, SOLDÁVEL, DN 25MM, INSTALADO EM RAMAL OU SUB-RAMAL DE ÁGUA -FORNECIMENTO E INSTALAÇÃO. AF_12/2014</t>
  </si>
  <si>
    <t xml:space="preserve"> TUBO, PVC, SOLDÁVEL, DN 50MM, INSTALADO EM PRUMADA DE ÁGUA - FORNECIMENTO E M 10,01 0,77 10,78</t>
  </si>
  <si>
    <t>89446 TUBO, PVC, SOLDÁVEL, DN 25MM, INSTALADO EM PRUMADA DE ÁGUA - FORNECIMENTO E M 2,69 0,42 3,11</t>
  </si>
  <si>
    <t>TÊ DE REDUÇÃO, PVC, SOLDÁVEL, DN 25MM X 20MM, INSTALADO EM RAMAL DE DISTRIBUIÇÃO DE ÁGUA - FORNECIMENTO E INSTALAÇÃO. AF_12/2014</t>
  </si>
  <si>
    <t>COTOVELO EM BRONZE/LATÃO, 90 GRAUS, SEM ANEL DE SOLDA, BOLSA X ROSCA F, DN 25MM X 3/4, INSTALADO EM PRUMADA FORNECIMENTO E INSTALAÇÃO. AF_01/2016_P</t>
  </si>
  <si>
    <t>COTOVELO EM BRONZE/LATÃO, 90 GRAUS, SEM ANEL DE SOLDA, BOLSA X ROSCA F, DN 25 MM X 1/2, INSTALADO EM PRUMADA FORNECIMENTO E INSTALAÇÃO. AF_01/2016_P</t>
  </si>
  <si>
    <t>INCÊNDIO</t>
  </si>
  <si>
    <t>Hidrante - Aço carbono</t>
  </si>
  <si>
    <t>3"</t>
  </si>
  <si>
    <t>Bombas Schneider</t>
  </si>
  <si>
    <t>ME-33200 B150 20 CV</t>
  </si>
  <si>
    <t>Hidrante - Ferro maleável classe 10</t>
  </si>
  <si>
    <t>LUVA DE REDUÇÃO, EM FERRO GALVANIZADO, 3" X 2.1/2", CONEXÃO ROSQUEADA, INSTALADO EM REDE DE ALIMENTAÇÃO PARA HIDRANTE - FORNECIMENTO E INSTALAÇÃO. AF_12/2015</t>
  </si>
  <si>
    <t>JOELHO 90 GRAUS, EM FERRO GALVANIZADO, DN 65 (2 1/2"), CONEXÃO ROSQUEADA, INSTALADO EM REDE DE ALIMENTAÇÃO PARA HIDRANTE - FORNECIMENTO E INSTALAÇÃO. AF_12/2015</t>
  </si>
  <si>
    <t>JOELHO 90 GRAUS, EM FERRO GALVANIZADO, DN 80(3"), CONEXÃO ROSQUEADA, INSTALADO EM REDE DE ALIMENTAÇÃO PARA HIDRANTE - FORNECIMENTO E INSTALAÇÃO. AF_12/2015</t>
  </si>
  <si>
    <t>JOELHO 90 GRAUS, RAIO LONGO EM FERRO GALVANIZADO, DN 65 (2 1/2"), CONEXÃO ROSQUEADA, INSTALADO EM REDE DE ALIMENTAÇÃO PARA HIDRANTE - FORNECIMENTO E INSTALAÇÃO. AF_12/2015</t>
  </si>
  <si>
    <t>TUBO DE AÇO GALVANIZADO COM COSTURA, CLASSE MÉDIA, DN 80 (3"), CONEXÃO ROSQUEADA,INSTALADO EM REDE DE ALIMENTAÇÃO PARA HIDRANTE - FORNECIMENTO E INSTALAÇÃO.</t>
  </si>
  <si>
    <t>TUBO DE AÇO GALVANIZADO COM COSTURA, CLASSE MÉDIA, DN 65 (2 1/2"), CONEXÃO ROSQUEADA, INSTALADO EM REDE DE ALIMENTAÇÃO PARA HIDRANTE - FORNECIMENTO E</t>
  </si>
  <si>
    <t>TÊ, EM FERRO GALVANIZADO, CONEXÃO ROSQUEADA, DN 80 (3"), INSTALADO EM REDE DE ALIMENTAÇÃO PARA HIDRANTE - FORNECIMENTO E INSTALAÇÃO. AF_12/2015</t>
  </si>
  <si>
    <t>73836/2</t>
  </si>
  <si>
    <t>NIPLE, EM FERRO GALVANIZADO, CONEXÃO ROSQUEADA, DN  (2.1/2), INSTALADO EM RESERVAÇÃO DE ÁGUA DE EDIFICAÇÃO QUE POSSUA RESERVATÓRIO DE FIBRA/FIBROCIMENTO  FORNECIMENTO</t>
  </si>
  <si>
    <t>COTOVELO 90 GRAUS, EM FERRO GALVANIZADO, CONEXÃO ROSQUEADA, DN 65 (2.1/2), INSTALADO</t>
  </si>
  <si>
    <t>ABRIGO PARA HIDRANTE, 75X45X17CM, COM REGISTRO GLOBO ANGULAR 45º 2.1/2", ADAPTADOR STORZ 2.1/2", MANGUEIRA DE INCÊNDIO 15M, REDUÇÃO 2.1/2X1.1/2" E ESGUICHO EM LATÃO STORZ 2.1/2", MANGUEIRA DE INCÊNDIO 15M, REDUÇÃO 2.1/2X1.1/2" E ESGUICHO EM LATÃO</t>
  </si>
  <si>
    <t xml:space="preserve">73795/14 </t>
  </si>
  <si>
    <t>73795/13</t>
  </si>
  <si>
    <t xml:space="preserve">VÁLVULA DE RETENÇÃO HORIZONTALØ 65MM (2.1/2") - FORNECIMENTO E INSTALAÇÃO </t>
  </si>
  <si>
    <t xml:space="preserve">VÁLVULA DE RETENÇÃO HORIZONTAL Ø 80MM (3") - FORNECIMENTO E INSTALAÇÃO </t>
  </si>
  <si>
    <t>74169/1</t>
  </si>
  <si>
    <t>REGISTRO/VALVULA GLOBO ANGULAR 45 GRAUS EM LATAO PARA HIDRANTES DE INCÊNDIO PREDIAL DN 2.1/2" - FORNECIMENTO E INSTALACAO</t>
  </si>
  <si>
    <t>GÁS</t>
  </si>
  <si>
    <t>Bucha de redução ponta-bolsa 600-2</t>
  </si>
  <si>
    <t>22 mm x 15 mm</t>
  </si>
  <si>
    <t>21 pç</t>
  </si>
  <si>
    <t>Conector bolsa - ponta</t>
  </si>
  <si>
    <t>15 mm x 1/2"</t>
  </si>
  <si>
    <t>22 pç</t>
  </si>
  <si>
    <t>Registro rápido</t>
  </si>
  <si>
    <t>1/2" x terminal Ø 11,80mm (para mangueira 3/8)</t>
  </si>
  <si>
    <t>TUBO EM COBRE RÍGIDO, DN 22 CLASSE E, SEM ISOLAMENTO, INSTALADO EM RAMAL DE DISTRIBUIÇÃO - FORNECIMENTO E INSTALAÇÃO. AF_12/2015</t>
  </si>
  <si>
    <t>92299 TE DE COBRE, SEM ANEL DE SOLDA, DN 22 MM, INSTALADO EM PRUMADA - FORNECIMENTO E UN 9,21 3,40 12,61</t>
  </si>
  <si>
    <t xml:space="preserve">89349 REGISTRO DE PRESSÃO BRUTO, LATÃO, ROSCÁVEL, 1/2", FORNECIDO E INSTALADO </t>
  </si>
  <si>
    <t>ABRIGO DE GÁS</t>
  </si>
  <si>
    <t>REGULADOR DE PRESSÃO 3/4"</t>
  </si>
  <si>
    <t>VÁLVULA DE BLOQUEIO AUTOMÁTICO</t>
  </si>
  <si>
    <t>TÊ COBRE 3/4"</t>
  </si>
  <si>
    <t>PIGTAIL</t>
  </si>
  <si>
    <t>73922/1 PISO CIMENTADO TRACO 1:3 (CIMENTO E AREIA) ACABAMENTO LISO ESPESSURA 3,5CM, PREPARO M2 22,16 29,25 51,41</t>
  </si>
  <si>
    <t xml:space="preserve">73922/1 </t>
  </si>
  <si>
    <t>40678 PORTA EM FERRO QUADRICULADO PARA ABRIGO DE MEDIDORES E BOTIJOES, DE ABRIR, COM M2 235,73 61,99 297,72</t>
  </si>
  <si>
    <t>Lógica - Caixa de passagem - embutir</t>
  </si>
  <si>
    <t>Alvenaria</t>
  </si>
  <si>
    <t>400x400x400mm</t>
  </si>
  <si>
    <t>Lógica - Caixa de passagem - sobrepor</t>
  </si>
  <si>
    <t>Aço pintada (ref Cemar)</t>
  </si>
  <si>
    <t>502x502x152 mm</t>
  </si>
  <si>
    <t>Aço pintada (ref Lukbox)</t>
  </si>
  <si>
    <t>Lógica - Eletrocalha furada tipo C pré-galv. quen</t>
  </si>
  <si>
    <t>Eletrocalha perfurada tipo C</t>
  </si>
  <si>
    <t>100x100mm chapa 18</t>
  </si>
  <si>
    <t>Lógica - Eletroduto metálico rígido leve</t>
  </si>
  <si>
    <t>45 pç</t>
  </si>
  <si>
    <t>Telefônica (dutos) - Caixa de passagem - embutir</t>
  </si>
  <si>
    <t>Telefônica (dutos) - Caixa de passagem - sobrepor</t>
  </si>
  <si>
    <t>Telefônica (dutos) - Dispositivo Elétrico - sobrepor</t>
  </si>
  <si>
    <t>Tomada telefone redonda 4P+RJ11</t>
  </si>
  <si>
    <t>Telefônica (dutos) - Eletrocalha furada tipo C pré-galv. quen</t>
  </si>
  <si>
    <t>Telefônica (dutos) - Eletroduto metálico rígido leve</t>
  </si>
  <si>
    <t xml:space="preserve"> CAIXA DE PASSAGEM PARA TELEFONE/LOGICA 10X10X5CM (SOBREPOR) FORNECIMENTO E INSTALACAO</t>
  </si>
  <si>
    <t>10X10X8 CM</t>
  </si>
  <si>
    <t>83366 CAIXA DE PASSAGEM 10X10X5CM (SOBREPOR) FORNECIMENTO E INSTALACAO UN 22,89 34,11 57,00</t>
  </si>
  <si>
    <t xml:space="preserve">TOMADA PARA lógica- FORNECIMENTO E INSTALACAO </t>
  </si>
  <si>
    <t>100x100mm chapa 18 fornecimento e montagem</t>
  </si>
  <si>
    <t>73798/1</t>
  </si>
  <si>
    <t>DUTO ESPIRAL FLEXIVEL SINGELO PEAD D=50MM(2") REVESTIDO COM PVC COM FIO GUIA DE ACO GALVANIZADO, LANCADO DIRETO NO SOLO, INCL CONEXOES</t>
  </si>
  <si>
    <t>ELETRODUTO DE FERRO GALVANIZADO, CLASSE LEVE, DN 25 MM (1''), APARENTE, INSTALADO EM PAREDE - FORNECIMENTO E INSTALAÇÃO. AF_11/2016</t>
  </si>
  <si>
    <t>QUADRO DE DISTRIBUICAO PARA TELEFONE N.4, 50X50X15CM EM CHAPA METALICA, DE SOBREPOR, SEM ACESSORIOS, PADRAO TELEBRAS, FORNECIMENTO E INSTALACAO</t>
  </si>
  <si>
    <t xml:space="preserve"> CAIXA DE PASSAGEM 10X10X5CM (SOBREPOR) FORNECIMENTO E INSTALACAO </t>
  </si>
  <si>
    <t>Elétrica - Cabo Unipolar (cobre)</t>
  </si>
  <si>
    <t>Isol.HEPR - ench.EVA - 0,6/1kV (ref. Pirelli Afumex)</t>
  </si>
  <si>
    <t>1.5 mm²</t>
  </si>
  <si>
    <t>10 mm²</t>
  </si>
  <si>
    <t>16 mm²</t>
  </si>
  <si>
    <t>2.5 mm²</t>
  </si>
  <si>
    <t>25 mm²</t>
  </si>
  <si>
    <t>4 mm²</t>
  </si>
  <si>
    <t>6 mm²</t>
  </si>
  <si>
    <t>Elétrica - Caixa de passagem - embutir</t>
  </si>
  <si>
    <t>Elétrica - Dispositivo Elétrico - sobrepor</t>
  </si>
  <si>
    <t>Conjunto tomada NEMA 3P &amp; disjuntor (3 a 5xIn)</t>
  </si>
  <si>
    <t>Tomada de sobrepor</t>
  </si>
  <si>
    <t>Elétrica - Dispositivo de Proteção</t>
  </si>
  <si>
    <t>Disjuntor Unipolar Termomagnético - norma DIN</t>
  </si>
  <si>
    <t>10 A</t>
  </si>
  <si>
    <t>20 A</t>
  </si>
  <si>
    <t>32 A</t>
  </si>
  <si>
    <t>45 A</t>
  </si>
  <si>
    <t>Elétrica - Eletroduto PVC flexível</t>
  </si>
  <si>
    <t>Eletroduto leve</t>
  </si>
  <si>
    <t>2"</t>
  </si>
  <si>
    <t>Elétrica - Eletroduto metálico rígido leve</t>
  </si>
  <si>
    <t>Eletroduto galvanizado, vara 3,0m</t>
  </si>
  <si>
    <t>Elétrica - Luminária e acessórios</t>
  </si>
  <si>
    <t>Elétrica - Material p/ entrada serviço</t>
  </si>
  <si>
    <t>Elétrica - Quadro distrib. chapa pintada - embutir</t>
  </si>
  <si>
    <t>Barr. trif., disj geral, compacto - DIN (Ref. Moratori)</t>
  </si>
  <si>
    <t>Cap. 15 disj. unip. - In barr. 100 A</t>
  </si>
  <si>
    <t>Cap. 42 disj. unip. - In barr. 100 A</t>
  </si>
  <si>
    <t>Barr. trif., disj. geral - UL (Ref. Moratori)</t>
  </si>
  <si>
    <t>Cap. 24 disj. unip. - In barr. 225 A</t>
  </si>
  <si>
    <t> pç</t>
  </si>
  <si>
    <t>Elétrica </t>
  </si>
  <si>
    <t xml:space="preserve"> CAIXA DE PASSAGEM 40X40X50 FUNDO BRITA COM TAMPA </t>
  </si>
  <si>
    <t xml:space="preserve"> CAIXA DE PASSAGEM 40X40X50  cm FUNDO BRITA COM TAMPA </t>
  </si>
  <si>
    <t>Luminária Led completa</t>
  </si>
  <si>
    <t>74131/5</t>
  </si>
  <si>
    <t>73953/6</t>
  </si>
  <si>
    <t>JANELAS DE FERRO</t>
  </si>
  <si>
    <t>KIT DE PORTA DE MADEIRA PARA VERNIZ, SEMI-OCA (LEVE OU MÉDIA), PADRÃO POPULAR, 80X210CM, ESPESSURA DE 3,5CM, ITENS INCLUSOS: DOBRADIÇAS, MONTAGEM E INSTALAÇÃO DO BATENTE, SEM FECHADURA - FORNECIMENTO E INSTALAÇÃO. AF_08/2015</t>
  </si>
  <si>
    <t>un.</t>
  </si>
  <si>
    <t>PORTA DE ALUMÍNIO DE ABRIR COM LAMBRI, COMM GUARNIÇÃO, FIXAÇÃO COM PARAFUSOS - FORNECIMENTO E INSTALAÇÃO. AF_08/2015</t>
  </si>
  <si>
    <t>WC E COPA [SALA DOS PROFESSORES] - REVESTIMENTO CERÂMICO NA PAREDE DE ALVENARIA, LARGURA = 6,0M, ALTURA = 1,60M</t>
  </si>
  <si>
    <t>REVESTIMENTO CERÂMICO PARA PISO COM PLACAS TIPO GRÊS DE DIMENSÕES 45X45 CM APLICADA EM AMBIENTES DE ÁREA MAIOR QUE 10 M2. AF_06/2014</t>
  </si>
  <si>
    <t>ESQUADRIAS DE ALUMINIO</t>
  </si>
  <si>
    <t>VIDROS</t>
  </si>
  <si>
    <t>Água fria -  Aparelho</t>
  </si>
  <si>
    <t>BEBEDOURO  DE COLUNA, INOX, ELÉTRICO, COM FILTRO</t>
  </si>
  <si>
    <t>PIA DE COZINHA, 120X60, DE GRANITO, CUBA INOX, TORNEIRA CROMADA</t>
  </si>
  <si>
    <t>PÇ</t>
  </si>
  <si>
    <t>CUBA DE AÇO INOX, INSTALADA NAS BANCADA, DIM 40X34X14CM, COM TORNEIRA DE BICA LONGA CROMADA</t>
  </si>
  <si>
    <t>CUBA DE AÇO INOX, INSTALADA NAS BANCADA, DIM 50X40X40CM, COM TORNEIRA DE BICA LONGA CROMADA</t>
  </si>
  <si>
    <t>TORNEIRA CROMADA 1/2" OU 3/4" PARA TANQUE, PADRÃO MÉDIO - FORNECIMENTO E INSTALAÇÃO</t>
  </si>
  <si>
    <t>LAVATÓRIO BANCADA DE GRANITO CINZA POLIDO  0,50 X 0,60 M  COM TORNEIRA DE BICA LONGA CROMADA- FORNECIMENTO INSTALAÇÃO [WC - SALA DOS PROFESSORES]</t>
  </si>
  <si>
    <t>LAVATÓRIO BANCADA DE GRANITO CINZA POLIDO  0,50 X 1,50 M  COM DUAS CUBAS DE LOUÇA,TORNEIRA DE BICA LONGA CROMADA- FORNECIMENTO INSTALAÇÃO [WC - DOS ALUNOS]</t>
  </si>
  <si>
    <t>KIT</t>
  </si>
  <si>
    <t>BARRA DE APOIO 60CM,METAL CROMADO, 60cm [WC DOS ALUNOS]</t>
  </si>
  <si>
    <t>KIT 1 -  1 SABONETEIRA,1  TOALHERA (TOALHA DE PAPEL),1 PORTA PAPEL HIGIÊNICO - DE PLÁSTICO.</t>
  </si>
  <si>
    <t>KIT 2 -  2 SABONETEIRAs,1  TOALHERA (TOALHA DE PAPEL),4 PORTA PAPEL HIGIÊNICO - DE PLÁSTICO.</t>
  </si>
  <si>
    <t>GESSO ACARTONADO</t>
  </si>
  <si>
    <t>MATEMATICA</t>
  </si>
  <si>
    <t>LAB.T.ED.</t>
  </si>
  <si>
    <t>LAB.P.A.P</t>
  </si>
  <si>
    <t>LAB.MAT.AP.</t>
  </si>
  <si>
    <t>LAB.MAT.</t>
  </si>
  <si>
    <t>Comp. (L)</t>
  </si>
  <si>
    <t>Coor. Curso</t>
  </si>
  <si>
    <t>porta 80x210</t>
  </si>
  <si>
    <t>LAB.FISICA</t>
  </si>
  <si>
    <t>LAB. GEOM.</t>
  </si>
  <si>
    <t>sala per. Doc.</t>
  </si>
  <si>
    <t>PÓS-GRAD.</t>
  </si>
  <si>
    <t>COPA</t>
  </si>
  <si>
    <t>ARQUIVO</t>
  </si>
  <si>
    <t>SECRET.</t>
  </si>
  <si>
    <t>Alt (H)</t>
  </si>
  <si>
    <t>GEOGRAFIA</t>
  </si>
  <si>
    <t>COORD.</t>
  </si>
  <si>
    <t>LAB. CART</t>
  </si>
  <si>
    <t>S. PROF. 3</t>
  </si>
  <si>
    <t>LAB.ENS.GEO.</t>
  </si>
  <si>
    <t>LAB.GEOPROC.</t>
  </si>
  <si>
    <t>LAGEFA</t>
  </si>
  <si>
    <t>BIOLOGIA</t>
  </si>
  <si>
    <t>LAB.ENS.ZOO.</t>
  </si>
  <si>
    <t>LAB.ENS.MICR.</t>
  </si>
  <si>
    <t>COORD.CURSO</t>
  </si>
  <si>
    <t>S.PROF.</t>
  </si>
  <si>
    <t>LAB.ENS.BOT.</t>
  </si>
  <si>
    <t>LAB.ENS.ANAT.</t>
  </si>
  <si>
    <t>LAB.ENS.</t>
  </si>
  <si>
    <t>LAB. GEN.</t>
  </si>
  <si>
    <t>COLEÇÃO PEIXES</t>
  </si>
  <si>
    <t>ECOL.</t>
  </si>
  <si>
    <t>FISIOL.</t>
  </si>
  <si>
    <t>BOTANICA</t>
  </si>
  <si>
    <t>CONTROLE</t>
  </si>
  <si>
    <t>MICROB.</t>
  </si>
  <si>
    <t>LIMNOL.</t>
  </si>
  <si>
    <t>FREEZER</t>
  </si>
  <si>
    <t>Rodapé</t>
  </si>
  <si>
    <t>porta 70x210</t>
  </si>
  <si>
    <t>WC_ALUNOS (M)</t>
  </si>
  <si>
    <t>WC_ALUNOS (F)</t>
  </si>
  <si>
    <t>WC_PROF</t>
  </si>
  <si>
    <t>DIVISÓRIA SANITÁRIA (WC)</t>
  </si>
  <si>
    <t>LAB.GENÉT.</t>
  </si>
  <si>
    <t>ECOLOGIA</t>
  </si>
  <si>
    <t>BIOENSAIO</t>
  </si>
  <si>
    <t>FISIOLOGIA</t>
  </si>
  <si>
    <t>BOTÂNICA</t>
  </si>
  <si>
    <t>BANCADAS</t>
  </si>
  <si>
    <t>COMPR.</t>
  </si>
  <si>
    <t>LARGURA</t>
  </si>
  <si>
    <t>ALTURA</t>
  </si>
  <si>
    <t>ACESSÓRIOS</t>
  </si>
  <si>
    <t>BC1</t>
  </si>
  <si>
    <t>BC2</t>
  </si>
  <si>
    <t>BC3</t>
  </si>
  <si>
    <t>BC4</t>
  </si>
  <si>
    <t>BC5</t>
  </si>
  <si>
    <t>BC6</t>
  </si>
  <si>
    <t>BC7</t>
  </si>
  <si>
    <t>BC8</t>
  </si>
  <si>
    <t>BC9</t>
  </si>
  <si>
    <t>BC10</t>
  </si>
  <si>
    <t>BC11</t>
  </si>
  <si>
    <t>BC12</t>
  </si>
  <si>
    <t>BC13</t>
  </si>
  <si>
    <t>BC14</t>
  </si>
  <si>
    <t>BC15</t>
  </si>
  <si>
    <t>BC16</t>
  </si>
  <si>
    <t>BC17</t>
  </si>
  <si>
    <t>BC18</t>
  </si>
  <si>
    <t>BC19</t>
  </si>
  <si>
    <t>BC20</t>
  </si>
  <si>
    <t>T: 127V/220V</t>
  </si>
  <si>
    <t>T: 127V/220V; LG</t>
  </si>
  <si>
    <t>1 CB 40x34x14</t>
  </si>
  <si>
    <t>2 CB 50X40X40</t>
  </si>
  <si>
    <t>1 CB 40x34x14+1 CB 50X40X40</t>
  </si>
  <si>
    <t>BC = BANCADA</t>
  </si>
  <si>
    <t>CB = CUBA INOX</t>
  </si>
  <si>
    <t>T = TOMADA ELÉTRICA</t>
  </si>
  <si>
    <t>LG = TOMADA LÓGICA</t>
  </si>
  <si>
    <t>2 CB 40x34x14</t>
  </si>
  <si>
    <t>BAP</t>
  </si>
  <si>
    <t>BARRA DE APOIO - D = 5cm, L=  60cm , METAL CROMADO</t>
  </si>
  <si>
    <t>BS</t>
  </si>
  <si>
    <t>BACIA SANITÁRIA</t>
  </si>
  <si>
    <t>CH</t>
  </si>
  <si>
    <t>CHUVEIRO ELÉTRICO 127V</t>
  </si>
  <si>
    <t>DGA</t>
  </si>
  <si>
    <t>DN</t>
  </si>
  <si>
    <t>DIVISÓRIA NAVAL, H=3,50m</t>
  </si>
  <si>
    <t>DS</t>
  </si>
  <si>
    <t>DIVISÓRIA SANITÁRIA, H=1,90m</t>
  </si>
  <si>
    <t>ED1</t>
  </si>
  <si>
    <t>QUADRO DE EDITAL, 80X90cm</t>
  </si>
  <si>
    <t>QD</t>
  </si>
  <si>
    <t>QUADRO DE GIZ, VERDE QUADRICULADO, COM MOLDURA DE</t>
  </si>
  <si>
    <t>MADEIRA OU CANTONEIRA DE ALUMÍNIO</t>
  </si>
  <si>
    <t>LV1</t>
  </si>
  <si>
    <t>LAVATÓRIO DE GRANITO, 1 CUBA</t>
  </si>
  <si>
    <t>LV2</t>
  </si>
  <si>
    <t>LAVATÓRIO DE GRANITO, 2 CUBAS</t>
  </si>
  <si>
    <t>LO</t>
  </si>
  <si>
    <t>LAVA OLHO - APARELHO COM PIA E  CHUVEIIRO</t>
  </si>
  <si>
    <t>PCZ</t>
  </si>
  <si>
    <t>PIA DE COZINHA, EM GRANITO, 120x55cm</t>
  </si>
  <si>
    <t>TB</t>
  </si>
  <si>
    <t>TABEIRA DE MADEIRA (15cm)</t>
  </si>
  <si>
    <t>BEBEDOURO DE ÁGUA, 127V</t>
  </si>
  <si>
    <t>PORTAS E JANELAS</t>
  </si>
  <si>
    <t>JF1</t>
  </si>
  <si>
    <t>B</t>
  </si>
  <si>
    <t>H</t>
  </si>
  <si>
    <t>QDE</t>
  </si>
  <si>
    <t>JF2</t>
  </si>
  <si>
    <t>JF3</t>
  </si>
  <si>
    <t>JF4</t>
  </si>
  <si>
    <t>JF5</t>
  </si>
  <si>
    <t>PM1</t>
  </si>
  <si>
    <t>material</t>
  </si>
  <si>
    <t>ferro</t>
  </si>
  <si>
    <t>madeira</t>
  </si>
  <si>
    <t>PN1</t>
  </si>
  <si>
    <t>NAVAL</t>
  </si>
  <si>
    <t>PA1</t>
  </si>
  <si>
    <t>2 FOLHAS</t>
  </si>
  <si>
    <t>PA2</t>
  </si>
  <si>
    <t>VENEZIANA ALUMÍNIO/VIDRO</t>
  </si>
  <si>
    <t>VENEZIANA ALUMÍNIO</t>
  </si>
  <si>
    <t>PA3</t>
  </si>
  <si>
    <t>PS1</t>
  </si>
  <si>
    <t>DIVISÓRIA SANITÁRIA</t>
  </si>
  <si>
    <t>PS2</t>
  </si>
  <si>
    <t>DIVISÓRIA GESSO ACARTONADO C/ ISOL. ACÚST., H=3,50m</t>
  </si>
  <si>
    <t>BB</t>
  </si>
  <si>
    <t>ÁREA DE COBERTURA REAL INCLUSIVE BEIRAL</t>
  </si>
  <si>
    <t>MAT</t>
  </si>
  <si>
    <t>TELHADO SUPERIOR</t>
  </si>
  <si>
    <t>COMPR</t>
  </si>
  <si>
    <t>LARG.REAL</t>
  </si>
  <si>
    <t>X</t>
  </si>
  <si>
    <t>TELHA M²</t>
  </si>
  <si>
    <t>TELHA TRANSLUCIDA</t>
  </si>
  <si>
    <t>CUMEEIRA</t>
  </si>
  <si>
    <t>TELHA TRANSL. (M²)</t>
  </si>
  <si>
    <t>CUMEEIRA (M)</t>
  </si>
  <si>
    <t>VERTICAL INTERIOR</t>
  </si>
  <si>
    <t>RUFO</t>
  </si>
  <si>
    <t xml:space="preserve">RUFO </t>
  </si>
  <si>
    <t>CALHA</t>
  </si>
  <si>
    <t>TELHADO INFERIOR  [DESCONTADO 48,0M² DO WC]</t>
  </si>
  <si>
    <t>BIO</t>
  </si>
  <si>
    <t>TELHADO INFERIOR  [DESCONTADO 32,0M² DO WC]</t>
  </si>
  <si>
    <t>TELHADO VERTICAL DO BEIRAL</t>
  </si>
  <si>
    <t>TELHADO HORIZONTAL DO BEIRAL</t>
  </si>
  <si>
    <t>TELHA PARA EITÃO (FRENTE E FUNDOS)</t>
  </si>
  <si>
    <t>TELHA PARA EITÃO (desnível de 1,0m)</t>
  </si>
  <si>
    <t>TELHA PARA EITÃO (desnível de 0,6m - 3X)</t>
  </si>
  <si>
    <t>SOMAS</t>
  </si>
  <si>
    <t xml:space="preserve"> TOTAIS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</si>
  <si>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</si>
  <si>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</si>
  <si>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</si>
  <si>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</si>
  <si>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</si>
  <si>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</si>
  <si>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</si>
  <si>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</si>
  <si>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</si>
  <si>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</si>
  <si>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</si>
  <si>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</si>
  <si>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</si>
  <si>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 xml:space="preserve">R$  UNIT.     c/BDI </t>
  </si>
  <si>
    <t>R$   UNIT. (s/BDI)</t>
  </si>
  <si>
    <t>5.1</t>
  </si>
  <si>
    <t>6.1</t>
  </si>
  <si>
    <t>6.2</t>
  </si>
  <si>
    <t>6.3</t>
  </si>
  <si>
    <t>6.4</t>
  </si>
  <si>
    <t>6.5</t>
  </si>
  <si>
    <t>6.6</t>
  </si>
  <si>
    <t>6.7</t>
  </si>
  <si>
    <t>IMPERMEABILIZAÇÃO DA LAJE DA CASA DO RESERVATÓRIO</t>
  </si>
  <si>
    <t>ESTRUTURA DA CASA DO RESERVATÓRIO (4x7,5)m²+ (6,4x7,4)m² = 77,5m2</t>
  </si>
  <si>
    <t>IMPERMEABILIZACAO DE SUPERFICIE COM ARGAMASSA DE CIMENTO E AREIA, TRACO 1:3, COM ADITIVO IMPERMEABILIZANTE, E=3 CM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</si>
  <si>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</si>
  <si>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</si>
  <si>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</si>
  <si>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</si>
  <si>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</si>
  <si>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</si>
  <si>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</si>
  <si>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</si>
  <si>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</si>
  <si>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</si>
  <si>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</si>
  <si>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</si>
  <si>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</si>
  <si>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</si>
  <si>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</si>
  <si>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</si>
  <si>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</si>
  <si>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</si>
  <si>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ARMAÇÃO DO CONTRAPISO COM MALHA AÇO CA60</t>
  </si>
  <si>
    <t>8.1</t>
  </si>
  <si>
    <t>8.2</t>
  </si>
  <si>
    <t>9.1</t>
  </si>
  <si>
    <t>9.2</t>
  </si>
  <si>
    <t>9.3</t>
  </si>
  <si>
    <t>9.4</t>
  </si>
  <si>
    <t>ALVENARIA</t>
  </si>
  <si>
    <t>TOTAL</t>
  </si>
  <si>
    <t>COMP 3</t>
  </si>
  <si>
    <t>10.1</t>
  </si>
  <si>
    <t>10.2</t>
  </si>
  <si>
    <t>REVESTIMENTO PISO  - CIRCULAÇÃO INTERNA</t>
  </si>
  <si>
    <t>REVESTIMENTO PISO  - SALAS E WCs</t>
  </si>
  <si>
    <t>10.3</t>
  </si>
  <si>
    <t>ESQUADRIAS DE MADEIRA</t>
  </si>
  <si>
    <t>Quadro Verde Quadriculado Tam. 400x120 cmLaminado Melamínico texturizado, verde, quadriculado (5x5cm) sobre chapa de MDF - Moldura em alumínio - suporte de Apagador ao longo de toda extensão do quadro.</t>
  </si>
  <si>
    <t>LousaTec</t>
  </si>
  <si>
    <t>Corti Arte</t>
  </si>
  <si>
    <t>Board Solutions</t>
  </si>
  <si>
    <t xml:space="preserve">média = </t>
  </si>
  <si>
    <t>divisória gesso acartonado</t>
  </si>
  <si>
    <t>JS FORROS E DIVISÓRIAS</t>
  </si>
  <si>
    <t>M²</t>
  </si>
  <si>
    <t>PLANEJE</t>
  </si>
  <si>
    <t>PAREDE</t>
  </si>
  <si>
    <t>ISOL.</t>
  </si>
  <si>
    <t>WR GESSO E DECORAÇÃO</t>
  </si>
  <si>
    <t>SOMA</t>
  </si>
  <si>
    <t>MÉDIA</t>
  </si>
  <si>
    <t>PORTA COMPLETA( BATENTE , FECHADURA,DOBRADIÇA)</t>
  </si>
  <si>
    <t>DIVISÓRIA GESSO  ACARTONADO</t>
  </si>
  <si>
    <t>BARRACÃO PRE-MOLDADO - ESTRUTURA E COBERTURA</t>
  </si>
  <si>
    <t>Pilares de concreto armado</t>
  </si>
  <si>
    <t>Vigas de concreto armado</t>
  </si>
  <si>
    <r>
      <rPr>
        <sz val="7"/>
        <rFont val="Times New Roman"/>
        <family val="1"/>
      </rPr>
      <t xml:space="preserve"> </t>
    </r>
    <r>
      <rPr>
        <sz val="11"/>
        <rFont val="Calibri"/>
        <family val="2"/>
      </rPr>
      <t>Escavação para fundação</t>
    </r>
  </si>
  <si>
    <t>Sapatas de concreto armado</t>
  </si>
  <si>
    <t>ESTRUTURA</t>
  </si>
  <si>
    <t>COBERTURA</t>
  </si>
  <si>
    <t>CIMENTEC</t>
  </si>
  <si>
    <t>SUB TOTAL</t>
  </si>
  <si>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Estrutura da cobertura em estrutura metálica</t>
    </r>
  </si>
  <si>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Cobertura em telha de aço (duplo), com miolo de isopor,  telha pré pintada na face superior e face inferior.</t>
    </r>
  </si>
  <si>
    <t>VALOR POR M²</t>
  </si>
  <si>
    <t xml:space="preserve">ÁREA = </t>
  </si>
  <si>
    <t>BV ESTRUTURAS</t>
  </si>
  <si>
    <t>SERPELLONI</t>
  </si>
  <si>
    <t>BLOCO BIO</t>
  </si>
  <si>
    <t>BLOCO MAT</t>
  </si>
  <si>
    <t>MARIO A OLIVEIRA</t>
  </si>
  <si>
    <t>BDI (%) = 25 - (CD – 1.500.000) 29.700.000</t>
  </si>
  <si>
    <t>METACIL (ESTRUTURA + COBERTURA) - SEM VIGAS =         R$ 200,00/M²</t>
  </si>
  <si>
    <t>Estrutura de Concreto Armado Pre-moldado e Cobertura em telha de aço/aço com isolante térmico</t>
  </si>
  <si>
    <t>ÁREA DO TELHADO EM PROJEÇÃO:</t>
  </si>
  <si>
    <t>ÁREA (m²)</t>
  </si>
  <si>
    <t>COMPR.(m)</t>
  </si>
  <si>
    <t>LARG.(m)</t>
  </si>
  <si>
    <t>BLOCO BIOLOGIA_GEOGRAFIA</t>
  </si>
  <si>
    <t>BLOCO MATEMÁTICA_PÓS-GRADUAÇÃO</t>
  </si>
  <si>
    <t>ÁREA TOTAL EM PROJEÇÃO DE COBERTURA EM TELHA DE AÇO</t>
  </si>
  <si>
    <t>ÁREA DE LAJE (CASA DO RESERVATÓRIO)</t>
  </si>
  <si>
    <t>COMP. 1-A</t>
  </si>
  <si>
    <t>COMP 1A</t>
  </si>
  <si>
    <t>COMP. 1-B</t>
  </si>
  <si>
    <t>FECHAMENTO EM TELHA METÁLICA PINTADA:</t>
  </si>
  <si>
    <t>VERTICAL, CONTORNO DO BEIRAL - MATEMÁTICA</t>
  </si>
  <si>
    <t>VERTICAL, CONTORNO DO BEIRAL -BIOLOGIA</t>
  </si>
  <si>
    <t>94213 TELHAMENTO COM TELHA DE AÇO/ALUMÍNIO E = 0,5 MM, COM ATÉ 2 ÁGUAS, INCLUSO IÇAMENTO. M2 32,90 2,25 35,15</t>
  </si>
  <si>
    <t>FECHAMENTO HORIZONTAL DO BEIRAL</t>
  </si>
  <si>
    <t>FECHAMENTO HORIZONTAL DA ÁREA (ENTRADA (2X20)M</t>
  </si>
  <si>
    <t>FORRO DO BEIRAL, FORRO DA ÁREA EXTERNA, FECHAMENTOS VERTICAIS INTERNOS (TESOURAS)</t>
  </si>
  <si>
    <t>GALPÃO COBERTO</t>
  </si>
  <si>
    <t>3.2</t>
  </si>
  <si>
    <t>CASA DOS RESERVATÓRIOS</t>
  </si>
  <si>
    <t>PAREDE EM GESSO ACARTONADO</t>
  </si>
  <si>
    <t>PAREDE EM DIVISÓRIA SANITÁRIA</t>
  </si>
  <si>
    <t>5.2</t>
  </si>
  <si>
    <t>5.3</t>
  </si>
  <si>
    <t>QUADRO DE GIZ DIM 120X400, MOLDURA DE ALUMÍNIO</t>
  </si>
  <si>
    <t>comp 4</t>
  </si>
  <si>
    <t>PINTURAS</t>
  </si>
  <si>
    <t>73924/1</t>
  </si>
  <si>
    <t xml:space="preserve"> PINTURA ESMALTE ALTO BRILHO, DUAS DEMAOS, SOBRE SUPERFICIE METALICA</t>
  </si>
  <si>
    <t>FORRO</t>
  </si>
  <si>
    <t>PORTA PARA PAREDE GESSO ACARTONADO</t>
  </si>
  <si>
    <t>PORTA PARA PAREDE DIVISÓRIA SANITÁRIA</t>
  </si>
  <si>
    <t>4.1</t>
  </si>
  <si>
    <t>4.2</t>
  </si>
  <si>
    <t>4.3</t>
  </si>
  <si>
    <t>5.4</t>
  </si>
  <si>
    <t>5.5</t>
  </si>
  <si>
    <t>5.6</t>
  </si>
  <si>
    <t>00011692 BANCADA/ BANCA EM MARMORE, POLIDO, BRANCO COMUM, E= *3* CM M2 CR 264,62</t>
  </si>
  <si>
    <t>BANCADAS EM TAMPO DE GRANITO</t>
  </si>
  <si>
    <t>PAREDES E BANCADAS</t>
  </si>
  <si>
    <t>CHAPISCO/EMBOÇO</t>
  </si>
  <si>
    <t>TAMPO DE MÁRMORE</t>
  </si>
  <si>
    <t>SINAP</t>
  </si>
  <si>
    <t>2.1</t>
  </si>
  <si>
    <t>2.2</t>
  </si>
  <si>
    <t>5.7</t>
  </si>
  <si>
    <t>5.8</t>
  </si>
  <si>
    <t>5.9</t>
  </si>
  <si>
    <t>5.10</t>
  </si>
  <si>
    <t>5.11</t>
  </si>
  <si>
    <t>5.12</t>
  </si>
  <si>
    <t>5.13</t>
  </si>
  <si>
    <t>ESQUADRIAS</t>
  </si>
  <si>
    <t>CAIXA D´ÁGUA EM POLIETILENO, 5000 LITROS, COM ACESSÓRIOS</t>
  </si>
  <si>
    <t>12.1</t>
  </si>
  <si>
    <t xml:space="preserve">73836/2 INSTALACAO DE CONJ.MOTO BOMBA HORIZONTAL DE 12,5 A 25 CV 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</si>
  <si>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</si>
  <si>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</si>
  <si>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</si>
  <si>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</si>
  <si>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</si>
  <si>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</si>
  <si>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</si>
  <si>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</si>
  <si>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</si>
  <si>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</si>
  <si>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</si>
  <si>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</si>
  <si>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</si>
  <si>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</si>
  <si>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</si>
  <si>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</si>
  <si>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</si>
  <si>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</si>
  <si>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</si>
  <si>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</si>
  <si>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</si>
  <si>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</si>
  <si>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</si>
  <si>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</si>
  <si>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</si>
  <si>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</si>
  <si>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</si>
  <si>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</si>
  <si>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</si>
  <si>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</si>
  <si>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</si>
  <si>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</si>
  <si>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</si>
  <si>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</si>
  <si>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</si>
  <si>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</si>
  <si>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</si>
  <si>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</si>
  <si>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</si>
  <si>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</si>
  <si>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</si>
  <si>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</si>
  <si>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</si>
  <si>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</si>
  <si>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</si>
  <si>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</si>
  <si>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</si>
  <si>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</si>
  <si>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</si>
  <si>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</si>
  <si>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</si>
  <si>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</si>
  <si>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</si>
  <si>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</si>
  <si>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14.18</t>
  </si>
  <si>
    <t>ELÉTRICO_LÓGICA_TELEFONE</t>
  </si>
  <si>
    <t>15.1</t>
  </si>
  <si>
    <t>15.2</t>
  </si>
  <si>
    <t xml:space="preserve">CAIXA DE PASSAGEM 40X40X50 FUNDO BRITA COM TAMPA </t>
  </si>
  <si>
    <t>15.3</t>
  </si>
  <si>
    <t>15.4</t>
  </si>
  <si>
    <t>15.5</t>
  </si>
  <si>
    <t>15.6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</si>
  <si>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</si>
  <si>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</si>
  <si>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</si>
  <si>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</si>
  <si>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</si>
  <si>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</si>
  <si>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</si>
  <si>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</si>
  <si>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</si>
  <si>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</si>
  <si>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</si>
  <si>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</si>
  <si>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</si>
  <si>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</si>
  <si>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</si>
  <si>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</si>
  <si>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</si>
  <si>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</si>
  <si>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15.26</t>
  </si>
  <si>
    <t>15.27</t>
  </si>
  <si>
    <t>15.28</t>
  </si>
  <si>
    <t>15.29</t>
  </si>
  <si>
    <t>15.30</t>
  </si>
  <si>
    <t>15.31</t>
  </si>
  <si>
    <t>15.32</t>
  </si>
  <si>
    <t>15.33</t>
  </si>
  <si>
    <t>15.34</t>
  </si>
  <si>
    <t>15.35</t>
  </si>
  <si>
    <t>15.36</t>
  </si>
  <si>
    <t>15.37</t>
  </si>
  <si>
    <t>15.38</t>
  </si>
  <si>
    <t>15.39</t>
  </si>
  <si>
    <t>15.40</t>
  </si>
  <si>
    <t>15.41</t>
  </si>
  <si>
    <t>15.42</t>
  </si>
  <si>
    <t>15.43</t>
  </si>
  <si>
    <t>15.44</t>
  </si>
  <si>
    <t>16.1</t>
  </si>
  <si>
    <t>16.2</t>
  </si>
  <si>
    <t>84645</t>
  </si>
  <si>
    <t xml:space="preserve"> VERNIZ SINTETICO BRILHANTE, 2 DEMAOS M2 </t>
  </si>
  <si>
    <t>16.3</t>
  </si>
  <si>
    <t xml:space="preserve">PEÇAS COMPLEMENTARES </t>
  </si>
  <si>
    <t>PEÇAS PARA WC</t>
  </si>
  <si>
    <t>PEÇA COMPLEMENTARES _ SALAS DE AULA</t>
  </si>
  <si>
    <t>18.1</t>
  </si>
  <si>
    <t>18.2</t>
  </si>
  <si>
    <t>18.3</t>
  </si>
  <si>
    <t>18.4</t>
  </si>
  <si>
    <t>18.5</t>
  </si>
  <si>
    <t>18.6</t>
  </si>
  <si>
    <t>QUADRO DE EDITAL(80X90),MOLDURA DE ALUMÍNIO</t>
  </si>
  <si>
    <t>CÁLCULO DO BDI</t>
  </si>
  <si>
    <t xml:space="preserve">R$ TOT. c/BDI </t>
  </si>
  <si>
    <t>METACIL</t>
  </si>
  <si>
    <t>PAREDES - WC AZULEJO ATÉ H=2,10M</t>
  </si>
  <si>
    <t>REVESTIMENTO CERÂMICO PARA PAREDES INTERNAS COM PLACAS TIPO GRÊS OU SEMI-GRÊS DE DIMENSÕES 33X45 CM APLICADAS EM AMBIENTES DE ÁREA MAIOR QUE 5 M² ATÉ 2,10M</t>
  </si>
  <si>
    <t>RODAPÉ DE MADEIRA PARA PAREDE DE GESSO ACARTONADO</t>
  </si>
  <si>
    <t>RODAPÉ</t>
  </si>
  <si>
    <t>M</t>
  </si>
  <si>
    <t>84162</t>
  </si>
  <si>
    <t>88478</t>
  </si>
  <si>
    <t>74154/1</t>
  </si>
  <si>
    <t>ESCAVACAO, CARGA E TRANSPORTE DE MATERIAL DE 1A CATEGORIA COM TRATOR SOBRE ESTEIRAS 347 HP E CACAMBA 6M3, DMT 50 A 200M</t>
  </si>
  <si>
    <t>74034/1</t>
  </si>
  <si>
    <t>74005/1</t>
  </si>
  <si>
    <t>COMPACTACAO MECANICA, SEM CONTROLE DO GC (C/COMPACTADOR PLACA 400 KG)</t>
  </si>
  <si>
    <t>4.4.</t>
  </si>
  <si>
    <t>ARMACAO EM AÇO, ACO CA-60, 4,2MM, MALHA 20X20CM (ARMAÇÃO DO CONTRAPISO)</t>
  </si>
  <si>
    <t>73994/1</t>
  </si>
  <si>
    <t xml:space="preserve"> LANCAMENTO/APLICACAO MANUAL DE CONCRETO EM FUNDACOES </t>
  </si>
  <si>
    <t xml:space="preserve">LAJE PRE-MOLDADA P/PISO, SOBRECARGA 400KG/M2, VAOS ATE 3,50M/E=8CM, C/LAJOTAS E CAP.C/CONC FCK=20MPA, 4CM, INTER-EIXO 38CM, C/ESCORAMENTO (REAPR.3X) E FERRAGEM  </t>
  </si>
  <si>
    <t>CONCRETO FCK = 25MPA, TRAÇO 1:2,3:2,7 (CIMENTO/ AREIA MÉDIA/ BRITA 1) - PREPARO MECÂNICO COM BETONEIRA 600 L.</t>
  </si>
  <si>
    <t xml:space="preserve"> LANCAMENTO/APLICACAO MANUAL DE CONCRETO </t>
  </si>
  <si>
    <t>87509</t>
  </si>
  <si>
    <t xml:space="preserve">94559 JANELA DE AÇO BASCULANTE, FIXAÇÃO COM ARGAMASSA, SEM VIDROS, PADRONIZADA. </t>
  </si>
  <si>
    <t xml:space="preserve">HIDRÁULICA </t>
  </si>
  <si>
    <t xml:space="preserve">74072/2 </t>
  </si>
  <si>
    <t xml:space="preserve">CORRIMAO EM TUBO ACO GALVANIZADO 2 1/2" COM BRACADEIRA </t>
  </si>
  <si>
    <t>18.7</t>
  </si>
  <si>
    <t>72116</t>
  </si>
  <si>
    <t>83449</t>
  </si>
  <si>
    <t xml:space="preserve"> CAIXA DE PASSAGEM 60X60X70 FUNDO BRITA COM TAMPA </t>
  </si>
  <si>
    <t>DRENO</t>
  </si>
  <si>
    <t>95568</t>
  </si>
  <si>
    <t xml:space="preserve">95568 TUBO DE CONCRETO (SIMPLES) PARA REDES COLETORAS DE ÁGUAS PLUVIAIS, DIÂMETRO DE 400 </t>
  </si>
  <si>
    <t>ESGOTO e DRENAGEM</t>
  </si>
  <si>
    <t>EXECUÇÃO DE PASSEIO (CALÇADA) OU PISO DE CONCRETO COM CONCRETO MOLDADO IN LOCO, FEITO EM OBRA, ACABAMENTO CONVENCIONAL, ESPESSURA 6 CM, ARMADO. AF_07/2016</t>
  </si>
  <si>
    <t>LIGAÇÃO BLOCO MAT_BLOCO BIOLOGIA = 40,MX2,0M = 80M²</t>
  </si>
  <si>
    <t>PERÍMETRO = 710M  LARGURA = 1,20M = 852 M²</t>
  </si>
  <si>
    <t>REVESTIMENTO DE PAREDE E PISO</t>
  </si>
  <si>
    <t>REVESTIMENTO DE PAREDE</t>
  </si>
  <si>
    <t>94564</t>
  </si>
  <si>
    <t>LIGAÇÃO BLOCO BLOCO BIOLOGIA AO BLOCO E = 25,MX2,0M = 50M²</t>
  </si>
  <si>
    <t>FRENTE AUDITÓRIO = 20,MX2,0M = 44M²</t>
  </si>
  <si>
    <t>COMPOSIÇÃO DE PREÇOS PARA UM MÓDULO DE 2,0X2,5M, ALTURA 2,2M</t>
  </si>
  <si>
    <r>
      <t xml:space="preserve">PÉ DIREITO [tubo redondo 2mm </t>
    </r>
    <r>
      <rPr>
        <b/>
        <sz val="11"/>
        <color theme="1"/>
        <rFont val="Calibri"/>
        <family val="2"/>
      </rPr>
      <t>Ø 50mm]</t>
    </r>
  </si>
  <si>
    <t>PESO(KG)</t>
  </si>
  <si>
    <t>peso</t>
  </si>
  <si>
    <t>R$/kg</t>
  </si>
  <si>
    <t>R$-ítem</t>
  </si>
  <si>
    <t>(COMPOSIÇÃO REPRESENTATIVA) FABRICAÇÃO E INSTALAÇÃO DE TESOURA INTEIRA EM AÇO, PARA VÃOS DE 3 A 12 M E PARA QUALQUER TIPO DE TELHA, INCLUSO IÇAMENTO. AF_12/2015</t>
  </si>
  <si>
    <t xml:space="preserve">ARCO [tubo retangular [60x60X2MM]  </t>
  </si>
  <si>
    <t>COBERTURA EM TELHA DE AÇO GALVANIZADO GALVALUME</t>
  </si>
  <si>
    <t>R$/m²</t>
  </si>
  <si>
    <t>TELHAMENTO COM TELHA DE AÇO/ALUMÍNIO E = 0,5 MM, COM ATÉ 2 ÁGUAS, INCLUSO IÇAMENTO</t>
  </si>
  <si>
    <t>Preço de um módulo de 2,5x5,0m</t>
  </si>
  <si>
    <t xml:space="preserve"> =</t>
  </si>
  <si>
    <t>Preço médio por m² sem BDI</t>
  </si>
  <si>
    <t>Preço médio por m² com BDI de 30%</t>
  </si>
  <si>
    <t>Preço médio por m² com arredondamento =</t>
  </si>
  <si>
    <t>REFERÊNCIA:  SINAP -  SEIL/PRED 002/2017</t>
  </si>
  <si>
    <t>COMP.4</t>
  </si>
  <si>
    <t>7.19</t>
  </si>
  <si>
    <t>7.20</t>
  </si>
  <si>
    <t>MEDIÇÃO 1</t>
  </si>
  <si>
    <t>% EXECUTADA</t>
  </si>
  <si>
    <t>VALOR</t>
  </si>
  <si>
    <t>% ACUMULADA</t>
  </si>
  <si>
    <t>MEDIÇÃO 2</t>
  </si>
  <si>
    <t>MEDIÇÃO 3</t>
  </si>
  <si>
    <t>MEDIÇÃO 4</t>
  </si>
  <si>
    <t>MEDIÇÃO 5</t>
  </si>
  <si>
    <t>MEDIÇÃO 6</t>
  </si>
  <si>
    <t>MEDIÇÃO 7</t>
  </si>
  <si>
    <t>MEDIÇÃO 8</t>
  </si>
  <si>
    <t>MEDIÇÃO 9</t>
  </si>
  <si>
    <t>MEDIÇÃO 10</t>
  </si>
  <si>
    <t>MEDIÇÃO 11</t>
  </si>
  <si>
    <t>MEDIÇÃO 12</t>
  </si>
  <si>
    <t>MEDIÇÃO 13</t>
  </si>
  <si>
    <t>MEDIÇÃO 14</t>
  </si>
  <si>
    <t>MEDIÇÃO 15</t>
  </si>
  <si>
    <t>MEDIÇÃO 16</t>
  </si>
  <si>
    <t>MEDIÇÃO 17</t>
  </si>
  <si>
    <t>MEDIÇÃO 18</t>
  </si>
  <si>
    <t>FUNDAÇÃO EM SAPATA RASA</t>
  </si>
  <si>
    <t>TESOURAS DA COBERTURA EM AÇO, COMPOSTO DE VIGAS U E CANTONEIRAS</t>
  </si>
  <si>
    <t>TELHMENTO EM TELHA DE AÇO/AÇO, COM MIOLO DE ISOPOR, E=3CM, COM TELHA PRE PINTADA NA FACE SUPERIOR</t>
  </si>
  <si>
    <t>PARA FECHAMENTO DOS EITÕES, BEIRAL E PAINEIS, A TELHA SERÁ DO MESMO MODELO, PRÉ PINTADA , UMA FACE, SEM ISOPOR.</t>
  </si>
  <si>
    <t>COMP 2</t>
  </si>
  <si>
    <t>COMP .2</t>
  </si>
  <si>
    <t>00003275</t>
  </si>
  <si>
    <t>FRENTE AUDITÓRIO =20,MX2,0M = 34M²</t>
  </si>
  <si>
    <t>PERÍMETRO = 710M  LARGURA = 1,50M = 1065 M2</t>
  </si>
  <si>
    <t>CALÇADÃO = 220,0 X 2M = 440,0M²</t>
  </si>
  <si>
    <t>74236/001</t>
  </si>
  <si>
    <t>CALÇADA EXTERNA E GRAMA</t>
  </si>
  <si>
    <t>SALAS</t>
  </si>
  <si>
    <t>CCP</t>
  </si>
  <si>
    <t>Data:30/10/2017</t>
  </si>
  <si>
    <t xml:space="preserve">  Decreto Estadual n.º3909, Publicado no Diario Oficial do Estado do Paraná em 01/12/08  -  CNPJ 08.885.100/0001-54</t>
  </si>
  <si>
    <t>KIT CHUVEIRO COM LAVA OLHO</t>
  </si>
  <si>
    <t>ÁREA</t>
  </si>
  <si>
    <t>Lista de materiais  ELETRICO MAT POS </t>
  </si>
  <si>
    <t>Lista de materiais  ELETRICO BIOLOGIA_GEOGRAFIA </t>
  </si>
  <si>
    <t>Lista de materiais  ELETRICO BIOLOGIA_GEOGRAFIA _MATEMÁTICA_PÓS-GRADUAÇÃO</t>
  </si>
  <si>
    <t>Elétrica - Acessórios p/ eletrodutos</t>
  </si>
  <si>
    <t>Caixa</t>
  </si>
  <si>
    <t>4x2"</t>
  </si>
  <si>
    <t>Curva 90º PVC longa rosca</t>
  </si>
  <si>
    <t>Luva PVC rosca</t>
  </si>
  <si>
    <t>Luva aço galvan. leve</t>
  </si>
  <si>
    <t>Luva aço galvan. pesado</t>
  </si>
  <si>
    <t>Tampa 400x400x50mm</t>
  </si>
  <si>
    <t>Elétrica - Caixa de passagem - sobrepor</t>
  </si>
  <si>
    <t>Aço pintada (ref Brum)</t>
  </si>
  <si>
    <t>150x150x80 mm</t>
  </si>
  <si>
    <t>200x200x100 mm</t>
  </si>
  <si>
    <t>PVC (ref Cemar)</t>
  </si>
  <si>
    <t>150x150x68 mm</t>
  </si>
  <si>
    <t>Conjunto tomada (2P+T) &amp; disjuntor (3 a 5xIn)</t>
  </si>
  <si>
    <t>Conjunto tomada (2P+T) &amp; disjuntor (5 a 10xIn)</t>
  </si>
  <si>
    <t>Disj. unipolar 16 A</t>
  </si>
  <si>
    <t>Disj. bipolar 16 A</t>
  </si>
  <si>
    <t>Disj. bipolar 20 A</t>
  </si>
  <si>
    <t>Disj. bipolar 25 A</t>
  </si>
  <si>
    <t>Condulete alum. encaixe tipo C</t>
  </si>
  <si>
    <t>Interruptor 1 tecla simples</t>
  </si>
  <si>
    <t>interruptor 1 tecla simples</t>
  </si>
  <si>
    <t>Tomada hexagonal (NBR 14136) 2P+T 10A</t>
  </si>
  <si>
    <t>Tomada hexagonal (NBR 14136) 2P+T 20A</t>
  </si>
  <si>
    <t>13 A</t>
  </si>
  <si>
    <t>16 A</t>
  </si>
  <si>
    <t>25 A</t>
  </si>
  <si>
    <t>40 A</t>
  </si>
  <si>
    <t>50 A</t>
  </si>
  <si>
    <t>70 A</t>
  </si>
  <si>
    <t>Braçadeira galvan. tipo cunha</t>
  </si>
  <si>
    <t>Luminária Led</t>
  </si>
  <si>
    <t>TD 51 2x18W</t>
  </si>
  <si>
    <t>Soquete</t>
  </si>
  <si>
    <t>base G 13</t>
  </si>
  <si>
    <t>Elétrica - Lâmpadas Led</t>
  </si>
  <si>
    <t>Tubular Led</t>
  </si>
  <si>
    <t>18W</t>
  </si>
  <si>
    <t>Caixa de passagem concreto/alvenaria</t>
  </si>
  <si>
    <t>500x500x500mm</t>
  </si>
  <si>
    <t>Haste de aterramento aço/cobre</t>
  </si>
  <si>
    <t>D=15mm, comprimento 2,4m</t>
  </si>
  <si>
    <t>Tubo aço galv. vara 6,0m</t>
  </si>
  <si>
    <t>Elétrica - Quadro distrib. chapa pintada </t>
  </si>
  <si>
    <t>Barr. trif., disj. geral - DIN (Ref. Moratori)</t>
  </si>
  <si>
    <t>Cap. 24 disj. unip. - In barr. 150A</t>
  </si>
  <si>
    <t>Lista de materiais TELEFONE E LÓGICA</t>
  </si>
  <si>
    <t>Caixa PVC</t>
  </si>
  <si>
    <t>4x4"</t>
  </si>
  <si>
    <t>Lógica - Acessórios uso geral</t>
  </si>
  <si>
    <t>Arruela lisa galvan.</t>
  </si>
  <si>
    <t>1/4"</t>
  </si>
  <si>
    <t>3/8"</t>
  </si>
  <si>
    <t>Bucha de nylon</t>
  </si>
  <si>
    <t>S6</t>
  </si>
  <si>
    <t>Parafuso fenda galvan. cab. panela</t>
  </si>
  <si>
    <t>4,2x32mm autoatarrachante</t>
  </si>
  <si>
    <t>Parafuso galvan. cab. sext.</t>
  </si>
  <si>
    <t>3/8"x2.1/2" rosca total WW</t>
  </si>
  <si>
    <t>Parafuso galvan. cabeça lentilha</t>
  </si>
  <si>
    <t>1/4"x5/8" máquina rosca total</t>
  </si>
  <si>
    <t>Porca sextavada galvan.</t>
  </si>
  <si>
    <t>Suporte para cabo de aço</t>
  </si>
  <si>
    <t>38x90mm</t>
  </si>
  <si>
    <t>Vergalhão galvan. rosca total</t>
  </si>
  <si>
    <t>1/4"x(comp. p/ proj.)</t>
  </si>
  <si>
    <t>Lógica - Caixa de passagem - </t>
  </si>
  <si>
    <t>100x100x80 mm</t>
  </si>
  <si>
    <t>Lógica - Canaleta PVC</t>
  </si>
  <si>
    <t>Canaleta PVC lisa</t>
  </si>
  <si>
    <t>100x100mm</t>
  </si>
  <si>
    <t>Tampa de encaixe</t>
  </si>
  <si>
    <t>100mm</t>
  </si>
  <si>
    <t>Lógica - Dispositivo Lógica - embutir</t>
  </si>
  <si>
    <t>Placa 4x4</t>
  </si>
  <si>
    <t>200x100mm chapa 18</t>
  </si>
  <si>
    <t>Suporte vertical</t>
  </si>
  <si>
    <t>120x146mm</t>
  </si>
  <si>
    <t>120x175mm</t>
  </si>
  <si>
    <t>Tala plana perfurada</t>
  </si>
  <si>
    <t>Tampa pressão</t>
  </si>
  <si>
    <t>100mm chapa 24</t>
  </si>
  <si>
    <t>200mm chapa 24</t>
  </si>
  <si>
    <t>Caixa PVC sistema X</t>
  </si>
  <si>
    <t>75x65x35 mm</t>
  </si>
  <si>
    <t>Telefônica (dutos) - Acessórios uso geral</t>
  </si>
  <si>
    <t>Telefônica (dutos) - Canaleta PVC</t>
  </si>
  <si>
    <t>Placa sistema X</t>
  </si>
  <si>
    <t xml:space="preserve"> CAIXA DE PASSAGEM 15X15X8CM (SOBREPOR) FORNECIMENTO E INSTALACAO</t>
  </si>
  <si>
    <t xml:space="preserve"> CAIXA DE PASSAGEM 20X20X8CM (SOBREPOR) FORNECIMENTO E INSTALACAO</t>
  </si>
  <si>
    <t xml:space="preserve">DISJUNTOR BIPOLAR TIPO DIN, CORRENTE NOMINAL DE16A - FORNECIMENTO E INSTALAÇÃO. </t>
  </si>
  <si>
    <t xml:space="preserve">DISJUNTOR BIPOLAR TIPO DIN, CORRENTE NOMINAL DE 20A - FORNECIMENTO E INSTALAÇÃO. </t>
  </si>
  <si>
    <t xml:space="preserve">DISJUNTOR BIPOLAR TIPO DIN, CORRENTE NOMINAL DE 25A - FORNECIMENTO E INSTALAÇÃO. </t>
  </si>
  <si>
    <t>50A</t>
  </si>
  <si>
    <t>75A</t>
  </si>
  <si>
    <t>74130/005</t>
  </si>
  <si>
    <t>Elétrica - Eletroduto PVC rígido </t>
  </si>
  <si>
    <t>93008</t>
  </si>
  <si>
    <t>93009</t>
  </si>
  <si>
    <t>Eletroduto PVC, vara 3,0m</t>
  </si>
  <si>
    <t>91856</t>
  </si>
  <si>
    <t xml:space="preserve">91864 </t>
  </si>
  <si>
    <t>91865</t>
  </si>
  <si>
    <t>EXAUSTOR ELÉTRICO 127v, d=30CM COMPLETO "VENTISOL" ou similar</t>
  </si>
  <si>
    <t>TD 51 1x18W   Tubular Led 18 W Calha e Luminária Completa</t>
  </si>
  <si>
    <t>Interruptor e Tomada de sobrepor</t>
  </si>
  <si>
    <t>INTERRUPTOR SIMPLES (1 MÓDULO), 10A/250V em CONDULETE DE PVC, PARA ELETRODUTO PVC DN 20 MM (3/4''), APARENTE - FORNECIMENTO E INSTALAÇÃO. AF_11/2016_P UN 11,55 9,37 20,92</t>
  </si>
  <si>
    <t>Tomada hexagonal (NBR 14136) 2P+T 10A EM CONDULETE DE PVC,  PARA ELETRODUTO PVC DN 20 MM (3/4''), APARENTE - FORNECIMENTO E INSTALAÇÃO. AF_11/2016_P</t>
  </si>
  <si>
    <t>ELETRODUTO DE PVC RIGIDO, CLASSE LEVE, DN 20 MM (3/4''), APARENTE, INSTALADO EM PAREDE - FORNECIMENTO E INSTALAÇÃO. AF_11/2016</t>
  </si>
  <si>
    <t>73689 CABO TELEFONICO CTP-APL-50, 20 PARES (USO EXTERNO) - FORNECIMENTO E IN M CR 13,12</t>
  </si>
  <si>
    <t>73689</t>
  </si>
  <si>
    <t>Telefônica  - sobrepor</t>
  </si>
  <si>
    <t xml:space="preserve">CABO LAN 4 PARES CAT 5E AZUL </t>
  </si>
  <si>
    <t>15.7</t>
  </si>
  <si>
    <t>QUADRO DE DISTRIBUICAO PARA LÓGICA, 60X60X12CM EM CHAPA METALICA, DE SOBREPOR, SEM ACESSORIOS,  FORNECIMENTO E INSTALACAO</t>
  </si>
  <si>
    <t>ALARME PARA INCENDIO - Alarme NBR 9050 - com 1 botoeira e alarme sonoro e visual, bivolt (127/220V) - Instação anexa em cada HIDRANTE (10x)</t>
  </si>
  <si>
    <t>Sinalização  Luminosa, Saida - com Seletor e Adesivo "SAIDA" - 110/220V - dim mínima 25x22cm (instalar 1 em cada saida)</t>
  </si>
  <si>
    <t xml:space="preserve"> VIDRO LISO COMUM TRANSPARENTE, ESPESSURA4 MM </t>
  </si>
  <si>
    <t>74125/001</t>
  </si>
  <si>
    <t xml:space="preserve"> ESPELHO CRISTAL ESPESSURA 4MM, COM MOLDURA DE MADEIRA OU ALUMINIO  M2 CR 384,51 (ESPELHO 50X60CM CADA) - 18X</t>
  </si>
  <si>
    <t>TABEIRA DE MADEIRA LEI, 1A QUALIDADE, 2,0X8,0 cm PARA PROTEÇÃO DA PAREDE , INSTALAÇÃO H=70cm  - [Local de instalação: SALAS DE AULA]</t>
  </si>
  <si>
    <t>GRAMA - FRENTE do bloco de GEOGRAFIA/BIOLOGIA - (LARGURA=5M)X220M</t>
  </si>
  <si>
    <t>GRAMA - FUNDOS do bloco de MATEM./PÓSGRAD. - (LARGURA=5M)X130M</t>
  </si>
  <si>
    <t>GRAMA - FRENTE E FUNDO (Sentido transversal) geral - (LARGURA=5M)X100M</t>
  </si>
  <si>
    <t>CALÇADA</t>
  </si>
  <si>
    <t>GRAMA</t>
  </si>
  <si>
    <t>GRAMA - AO LONGO DO CALÇADÃO - (LARGURA=(3,5+3,5)M)X220M</t>
  </si>
  <si>
    <t>ESTRUTURA PRE MOLDADA DE CONCRETO ARMADO E COBERTURA METÁLICA COM TELHA DE AÇO DUPLO, COM MIOLO DE ISOPOR, TELHA PRÉ PINTADA NA FACE SUPERIOR</t>
  </si>
  <si>
    <t>CAIXA D´ÁGUA EM POLIETILENO, 300 LITROS, COM ACESSÓRIOS</t>
  </si>
  <si>
    <t xml:space="preserve">72553 </t>
  </si>
  <si>
    <t>73775/2</t>
  </si>
  <si>
    <t xml:space="preserve"> EXTINTOR INCENDIO AGUA-PRESSURIZADA 10L INCL SUPORTE PAREDE CARGA COMPLETA </t>
  </si>
  <si>
    <t xml:space="preserve"> EXTINTOR DE PQS 4KG - FORNECIMENTO E INSTALACAO </t>
  </si>
  <si>
    <t>REF.: Referência SINAPI: DEZEMBRO de 2016 - Vigência: FEVEREIRO de 2017</t>
  </si>
  <si>
    <t>Resolução Conjunta SEIL/PRED 002/2017</t>
  </si>
  <si>
    <t>O cronograma de execução poderá ser alterado pela construtora , mantendo-se o prazo máximo de 18 meses.</t>
  </si>
  <si>
    <t>PAREDES DE ALVENARIA (+)</t>
  </si>
  <si>
    <t>PAREDE 20</t>
  </si>
  <si>
    <t>PAREDE 15</t>
  </si>
  <si>
    <t>PAREDES DE ALVENARIA (-)</t>
  </si>
  <si>
    <t>JANELAS</t>
  </si>
  <si>
    <t>PORTAS</t>
  </si>
  <si>
    <t>RESERVATÓRIOS</t>
  </si>
  <si>
    <t>RESERV. MATEMATICA = 7,5*6,5</t>
  </si>
  <si>
    <t>RESERV BIOLOGIA = 7,5*4</t>
  </si>
  <si>
    <t>PAREDE 20 + PAREDE 15</t>
  </si>
  <si>
    <t>DESCONTO JANELAS/PORTAS</t>
  </si>
  <si>
    <t>AREA REAL DE ALVENARIA</t>
  </si>
  <si>
    <t>CHAPISCO/EMBOÇO( PAREDES)</t>
  </si>
  <si>
    <t>CHAPISCO/EMBOÇO( LAJES)</t>
  </si>
  <si>
    <t>CHAPISCO/EMBOÇO(TOTAL)</t>
  </si>
  <si>
    <t>ELETRICO</t>
  </si>
  <si>
    <t>89714</t>
  </si>
  <si>
    <t>93362</t>
  </si>
  <si>
    <t>BARRA ANTI-PÂNICO DUPLO - [EQUIPAR NA PORTA PA2-SAIDA DO AUDITÓRIO] FORNECIMENTO E INSTALAÇÃO</t>
  </si>
  <si>
    <t>IMPERMEABILIZAÇÃO DAS VIGAS BALDRAME - 74106 IMPERMEAB. DE FUNDACOES/BALDRAMES/MUROS DE ARRIMO/ALICERCES E REVEST.EM CONTATO C/SOLO - UTILIZ. TINTA BETUMINOSA TIPO NEUTROLIN / 2DEMAOS 74106/001 IMPERMEABILIZACAO DE ESTRUTURAS ENTERRADAS, COM TINTA ASFALTICA, DUAS M2 CR 9,96</t>
  </si>
  <si>
    <t>74106</t>
  </si>
  <si>
    <t>3.3</t>
  </si>
  <si>
    <t>94231 RUFO EM CHAPA DE AÇO GALVANIZADO NÚMERO 24, CORTE DE 25 CM, INCLUSO TR M CR 25,66</t>
  </si>
  <si>
    <t>ANSPORTE VERTICAL. AF_06/2016</t>
  </si>
  <si>
    <t xml:space="preserve">RUFO -94231 RUFO EM CHAPA DE AÇO GALVANIZADO NÚMERO 24, CORTE DE 25 CM, INCLUSO TR M CR 25,66  </t>
  </si>
  <si>
    <t>94231</t>
  </si>
  <si>
    <t>CALHA - 94227 CALHA EM CHAPA DE AÇO GALVANIZADO NÚMERO 24, DESENVOLVIMENTO DE 33 CM, M CR 37,03</t>
  </si>
  <si>
    <t>94227</t>
  </si>
  <si>
    <t>93212</t>
  </si>
  <si>
    <t>93210</t>
  </si>
  <si>
    <t>MÊS</t>
  </si>
  <si>
    <t>94295</t>
  </si>
  <si>
    <t xml:space="preserve">93563 </t>
  </si>
  <si>
    <t>1.1.1</t>
  </si>
  <si>
    <t>1.1.2</t>
  </si>
  <si>
    <t>1.1.3</t>
  </si>
  <si>
    <t>1.1.4</t>
  </si>
  <si>
    <t>1.1.5</t>
  </si>
  <si>
    <t>1.1.6</t>
  </si>
  <si>
    <t>m/mês</t>
  </si>
  <si>
    <t>95135</t>
  </si>
  <si>
    <t>88411 APLICAÇÃO MANUAL DE FUNDO SELADOR ACRÍLICO EM PANOS COM PRESENÇA DE VÃ M2 CR 2,18</t>
  </si>
  <si>
    <t xml:space="preserve">88411 </t>
  </si>
  <si>
    <t>88489 APLICAÇÃO MANUAL DE PINTURA COM TINTA LÁTEX ACRÍLICA EM PAREDES, DUAS M2 CR 11,24</t>
  </si>
  <si>
    <t>88489</t>
  </si>
  <si>
    <t>88495</t>
  </si>
  <si>
    <t>h</t>
  </si>
  <si>
    <t xml:space="preserve"> EXECUÇÃO DE SANITÁRIO E VESTIÁRIO EM CANTEIRO DE OBRA EM CHAPA DE MADE </t>
  </si>
  <si>
    <t xml:space="preserve"> EXECUÇÃO DE REFEITÓRIO EM CANTEIRO DE OBRA EM CHAPA DE MADEIRA COMPENS</t>
  </si>
  <si>
    <t>90778</t>
  </si>
  <si>
    <t xml:space="preserve"> ENGENHEIRO CIVIL DE OBRA PLENO COM ENCARGOS COMPLEMENTARES </t>
  </si>
  <si>
    <t>MESTRE DE OBRAS COM ENCARGOS COMPLEMENTARES MES CR 7.262,68</t>
  </si>
  <si>
    <t xml:space="preserve"> ALMOXARIFE COM ENCARGOS COMPLEMENTARES</t>
  </si>
  <si>
    <t>LOCACAO DE ANDAIME METALICO TUBULAR TIPO TORRE</t>
  </si>
  <si>
    <t>TUBO PVC, SERIE NORMAL, ESGOTO PREDIAL, DN 100 MM, FORNECIDO E INSTALADO</t>
  </si>
  <si>
    <t>REATERRO MECANIZADO DE VALA COM ESCAVADEIRA HIDRÁULICA (CAPACIDADE DA CAÇAMBA: 0,8 M³ / POTÊNCIA: 111 HP), LARGURA DE 1,5 A 2,5 M, PROFUNDIDADE DE 1,5 A 3,0 M</t>
  </si>
  <si>
    <t>73990/001</t>
  </si>
  <si>
    <t>ARMACAO ACO CA-50 P/1,0M3 DE CONCRETO</t>
  </si>
  <si>
    <t>89949</t>
  </si>
  <si>
    <t xml:space="preserve">89949 ESCAVAÇÃO VERTICAL A CÉU ABERTO, INCLUINDO CARGA, DESCARGA E TRANSPORT M3 </t>
  </si>
  <si>
    <t>92721</t>
  </si>
  <si>
    <t>CONCRETAGEM DE SAPATA, FCK = 20 MPA</t>
  </si>
  <si>
    <t>viga baldrame biologia</t>
  </si>
  <si>
    <t>sapata biologia</t>
  </si>
  <si>
    <t>BIOLOGIA/GEOGRAFIA</t>
  </si>
  <si>
    <t>SAPATA RASA (100x100x40)</t>
  </si>
  <si>
    <t>escavação/aterro</t>
  </si>
  <si>
    <t>concreto armado da base</t>
  </si>
  <si>
    <t>Y</t>
  </si>
  <si>
    <t>VOL</t>
  </si>
  <si>
    <t>BASE</t>
  </si>
  <si>
    <t>COROA</t>
  </si>
  <si>
    <t>VOLUME TOTAL</t>
  </si>
  <si>
    <t>m³ de concreto</t>
  </si>
  <si>
    <t>ARMAÇÃO</t>
  </si>
  <si>
    <t>AÇO</t>
  </si>
  <si>
    <t>COMP.</t>
  </si>
  <si>
    <t>(X)</t>
  </si>
  <si>
    <t>compr.total</t>
  </si>
  <si>
    <t>kg(total)</t>
  </si>
  <si>
    <t>viga baldrame matematica</t>
  </si>
  <si>
    <t>sapata matematica</t>
  </si>
  <si>
    <t>10,0MM</t>
  </si>
  <si>
    <t>MATEMÁTICA/PÓS-GRADUAÇÃO</t>
  </si>
  <si>
    <t>viga cobertura matematica</t>
  </si>
  <si>
    <t>viga cobertura biologia</t>
  </si>
  <si>
    <t>VIGA LANTERNIM MATEMATICA</t>
  </si>
  <si>
    <t>VIGA LANTERNIM  BIOL</t>
  </si>
  <si>
    <t>VIGAS BALDRAME</t>
  </si>
  <si>
    <t>CONCRETO</t>
  </si>
  <si>
    <t>Concreto (m³)</t>
  </si>
  <si>
    <t>BIOLOGIA_GEOFRAFIA</t>
  </si>
  <si>
    <t>MATEMÁTICA_PÓS GRADUAÇÃO</t>
  </si>
  <si>
    <t>ɸ 10mm (m)</t>
  </si>
  <si>
    <t>ɸ 5mm (m)</t>
  </si>
  <si>
    <t>ɸ 10mm (kg)</t>
  </si>
  <si>
    <t>ɸ 5mm (kg)</t>
  </si>
  <si>
    <t>PILAR  PRE-MOLDADO</t>
  </si>
  <si>
    <t>CONCRETO (25MPA)</t>
  </si>
  <si>
    <t>L</t>
  </si>
  <si>
    <t>conc. (m3)</t>
  </si>
  <si>
    <t>P1</t>
  </si>
  <si>
    <t>P2</t>
  </si>
  <si>
    <t>P3</t>
  </si>
  <si>
    <t>BIT (mm)</t>
  </si>
  <si>
    <t>C (m)</t>
  </si>
  <si>
    <t>C (tot.)</t>
  </si>
  <si>
    <t>RESUMO DE MATERIAIS - PILAR</t>
  </si>
  <si>
    <t>CONCRETO (25 MPA)</t>
  </si>
  <si>
    <t xml:space="preserve"> = </t>
  </si>
  <si>
    <t>AÇO CA 50 / CA 60</t>
  </si>
  <si>
    <t>VIGA PRE-MOLDADA PARA COBERTURA</t>
  </si>
  <si>
    <t>BIO_GEO</t>
  </si>
  <si>
    <t>MAT_PÓS GRADUAÇÃO</t>
  </si>
  <si>
    <t>VIGA PRE-MOLDADA PARA LANTERNIM</t>
  </si>
  <si>
    <t>ɸ 8,0mm (m)</t>
  </si>
  <si>
    <t>ɸ 8,0mm (kg)</t>
  </si>
  <si>
    <t>ESTRUTURA METALICA</t>
  </si>
  <si>
    <t>VIGA U 100X40X2,66X3,54kg/m</t>
  </si>
  <si>
    <t>CANTONEIRA L 11/2x11/2x1/8x1,83kg/m</t>
  </si>
  <si>
    <t>TERÇA 75x40x2,66x3,43 - rigido</t>
  </si>
  <si>
    <r>
      <t xml:space="preserve">contraventamento </t>
    </r>
    <r>
      <rPr>
        <sz val="11"/>
        <color theme="1"/>
        <rFont val="Calibri"/>
        <family val="2"/>
      </rPr>
      <t>Ø 12,5mm</t>
    </r>
  </si>
  <si>
    <t>PRÉ-MOLDADO E COBERTURA</t>
  </si>
  <si>
    <t>88472</t>
  </si>
  <si>
    <t>ESPALHAMENTO DE MATERIAL DE 1A CATEGORIA COM TRATOR DE ESTEIRA COM 153HP M3 1,83 0,27 2,10</t>
  </si>
  <si>
    <t xml:space="preserve"> CONTRAPISO AUTONIVELANTE, ESPESSURA 5 CM </t>
  </si>
  <si>
    <t xml:space="preserve"> ESCAVAÇÃO MANUAL DE VALAS. AF_03/2016</t>
  </si>
  <si>
    <t xml:space="preserve"> CORTE E DOBRA DE AÇO CA-50, DIÂMETRO DE 6.3 MM, UTILIZADO EM ESTRUTURAS DIVERSAS</t>
  </si>
  <si>
    <t>(COMPOSIÇÃO REPRESENTATIVA) DO SERVIÇO DE ALVENARIA DE VEDAÇÃO DE BLOCOS VAZADOS DE CERÂMICA DE 9X19X19CM (ESPESSURA 14CM), PARA EDIFICAÇÃO HABITACIONAL UNIFAMILIAR (CASA) E EDIFICAÇÃO PÚBLICA PADRÃO. AF_11/2014</t>
  </si>
  <si>
    <t>ALVENARIA DE VEDAÇÃO DE BLOCOS CERÂMICOS FURADOS NA HORIZONTAL DE 14X9X19CM (ESPESSURA 9CM, BLOCO DEITADO) DE PAREDES COM ÁREA LÍQUIDA MAIOR OU IGUAL A 6M² SEM VÃOS E ARGAMASSA DE ASSENTAMENTO COM PREPARO EM BETONEIRA. AF_06/2014</t>
  </si>
  <si>
    <t>1.14</t>
  </si>
  <si>
    <t xml:space="preserve">ESCAVACAO E TRANSPORTE DE MATERIAL DE 2A CAT DMT 50M COM TRATOR SOBRE ESTEIRAS 347 HP COM LAMINA E ESCARIFICADOR  </t>
  </si>
  <si>
    <t>COMP 1</t>
  </si>
  <si>
    <t>3.4</t>
  </si>
  <si>
    <t>3.5</t>
  </si>
  <si>
    <t>3.6</t>
  </si>
  <si>
    <t>3.7</t>
  </si>
  <si>
    <t>3.8</t>
  </si>
  <si>
    <t xml:space="preserve">87561 </t>
  </si>
  <si>
    <t>87871</t>
  </si>
  <si>
    <t xml:space="preserve"> MASSA ÚNICA, PARA RECEBIMENTO DE PINTURA OU CERÂMICA, EM ARGAMASSA INDUSTRIALIZADA, PREPARO MECÂNICO, APLICADO COM EQUIPAMENTO DE MISTURA E PROJEÇÃO DE 1,5 M3/H DE ARGAMASSA </t>
  </si>
  <si>
    <t xml:space="preserve">ÁREA DE CIRCULAÇÃO INTERNA - EXECUÇÃO DE PÁTIO/ESTACIONAMENTO EM PISO INTERTRAVADO, COM BLOCO RETANGULAR COR NATURAL DE 20 X 10 CM, ESPESSURA 6 CM. AF_12/2015 </t>
  </si>
  <si>
    <t>10.4</t>
  </si>
  <si>
    <t>Detector de Fumaça com Alarme</t>
  </si>
  <si>
    <t xml:space="preserve">74236/001 PLANTIO DE GRAMA BATATAIS EM PLACAS </t>
  </si>
  <si>
    <t>74153/001 ESPALHAMENTO MECANIZADO (COM MOTONIVELADORA 140 HP) MATERIAL 1A. CATEG M2 CR 0,22</t>
  </si>
  <si>
    <t>74153/001</t>
  </si>
  <si>
    <t>74220/001</t>
  </si>
  <si>
    <t xml:space="preserve"> TAPUME DE CHAPA DE MADEIRA COMPENSADA, E= 6MM, COM PINTURA A CAL E REAPROVEITAMENTO 2X</t>
  </si>
  <si>
    <t>93360 REATERRO MECANIZADO DE VALA COM ESCAVADEIRA HIDRÁULICA (CAPACIDADE DA M3 AS 14,64</t>
  </si>
  <si>
    <t>93360</t>
  </si>
  <si>
    <t>3.9</t>
  </si>
  <si>
    <t>1.15</t>
  </si>
  <si>
    <t>16.4</t>
  </si>
  <si>
    <t>16.5</t>
  </si>
  <si>
    <t>APLICAÇÃO E LIXAMENTO DE MASSA LÁTEX EM PAREDES , UMA DEMÃO.</t>
  </si>
  <si>
    <t xml:space="preserve"> FORRO COMPOSTO POR PAINEIS DE LA DE VIDRO, REVESTIDOS EM PVC MICROPERFURADO, DE *1250 X 625* MM, ESPESSURA 15 MM (COM COLOCACAO) M2 </t>
  </si>
  <si>
    <t>LIMPEZA E FINALIZAÇÕES</t>
  </si>
  <si>
    <t>O CRONOGRAMA DEVERÁ SER ADEQUADO PELA CONSTRUTORA, MANTENDO-SE O PRAZO MÁXIMO DE 16 MESES</t>
  </si>
  <si>
    <t xml:space="preserve"> FINALIZAÇÕES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</si>
</sst>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0.0%"/>
    <numFmt numFmtId="166" formatCode="_-* #,##0.0_-;\-* #,##0.0_-;_-* &quot;-&quot;??_-;_-@_-"/>
    <numFmt numFmtId="167" formatCode="#,##0.0"/>
    <numFmt numFmtId="168" formatCode="_-* #,##0.0_-;\-* #,##0.0_-;_-* &quot;-&quot;?_-;_-@_-"/>
    <numFmt numFmtId="169" formatCode="_-* #,##0_-;\-* #,##0_-;_-* &quot;-&quot;??_-;_-@_-"/>
  </numFmts>
  <fonts count="44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5"/>
      <color indexed="8"/>
      <name val="UniversalBlack"/>
      <family val="2"/>
    </font>
    <font>
      <b/>
      <sz val="13"/>
      <color indexed="8"/>
      <name val="Times New Roman"/>
      <family val="1"/>
    </font>
    <font>
      <i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0"/>
      <color indexed="18"/>
      <name val="Arial"/>
      <family val="2"/>
    </font>
    <font>
      <i/>
      <sz val="10"/>
      <name val="Arial"/>
      <family val="2"/>
    </font>
    <font>
      <sz val="10"/>
      <color indexed="63"/>
      <name val="Arial"/>
      <family val="2"/>
    </font>
    <font>
      <sz val="12"/>
      <name val="Times New Roman"/>
      <family val="1"/>
    </font>
    <font>
      <sz val="11"/>
      <name val="Calibri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11"/>
      <name val="Symbol"/>
      <family val="1"/>
      <charset val="2"/>
    </font>
    <font>
      <sz val="7"/>
      <name val="Times New Roman"/>
      <family val="1"/>
    </font>
    <font>
      <sz val="10"/>
      <name val="Calibri"/>
      <family val="2"/>
    </font>
    <font>
      <sz val="10"/>
      <name val="Symbol"/>
      <family val="1"/>
      <charset val="2"/>
    </font>
    <font>
      <sz val="10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rgb="FFC00000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</font>
    <font>
      <u/>
      <sz val="10"/>
      <name val="Arial"/>
      <family val="2"/>
    </font>
    <font>
      <sz val="11"/>
      <name val="Segoe UI"/>
      <family val="2"/>
    </font>
    <font>
      <sz val="11"/>
      <name val="Times New Roman"/>
      <family val="1"/>
    </font>
    <font>
      <sz val="1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auto="1"/>
      </top>
      <bottom/>
      <diagonal/>
    </border>
    <border>
      <left style="hair">
        <color indexed="64"/>
      </left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474">
    <xf numFmtId="0" fontId="0" fillId="0" borderId="0" xfId="0"/>
    <xf numFmtId="0" fontId="0" fillId="0" borderId="0" xfId="0" applyBorder="1"/>
    <xf numFmtId="4" fontId="4" fillId="0" borderId="2" xfId="0" applyNumberFormat="1" applyFont="1" applyBorder="1"/>
    <xf numFmtId="4" fontId="0" fillId="0" borderId="0" xfId="0" applyNumberFormat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/>
    <xf numFmtId="165" fontId="4" fillId="0" borderId="6" xfId="0" applyNumberFormat="1" applyFont="1" applyBorder="1"/>
    <xf numFmtId="4" fontId="4" fillId="0" borderId="12" xfId="0" applyNumberFormat="1" applyFont="1" applyBorder="1"/>
    <xf numFmtId="0" fontId="4" fillId="0" borderId="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" fontId="4" fillId="0" borderId="0" xfId="0" applyNumberFormat="1" applyFont="1" applyBorder="1"/>
    <xf numFmtId="43" fontId="0" fillId="0" borderId="0" xfId="0" applyNumberFormat="1"/>
    <xf numFmtId="43" fontId="4" fillId="2" borderId="2" xfId="2" applyFont="1" applyFill="1" applyBorder="1"/>
    <xf numFmtId="43" fontId="4" fillId="2" borderId="4" xfId="2" applyFont="1" applyFill="1" applyBorder="1"/>
    <xf numFmtId="43" fontId="3" fillId="2" borderId="6" xfId="2" applyFont="1" applyFill="1" applyBorder="1"/>
    <xf numFmtId="2" fontId="0" fillId="0" borderId="0" xfId="0" applyNumberFormat="1"/>
    <xf numFmtId="0" fontId="4" fillId="0" borderId="0" xfId="0" applyFont="1" applyBorder="1"/>
    <xf numFmtId="0" fontId="4" fillId="0" borderId="1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4" fillId="0" borderId="8" xfId="0" applyFont="1" applyBorder="1"/>
    <xf numFmtId="0" fontId="4" fillId="0" borderId="0" xfId="0" applyFont="1"/>
    <xf numFmtId="4" fontId="13" fillId="0" borderId="0" xfId="0" applyNumberFormat="1" applyFont="1" applyBorder="1"/>
    <xf numFmtId="0" fontId="4" fillId="0" borderId="0" xfId="0" applyFont="1" applyAlignment="1">
      <alignment wrapText="1"/>
    </xf>
    <xf numFmtId="43" fontId="4" fillId="0" borderId="0" xfId="2" applyFont="1" applyBorder="1"/>
    <xf numFmtId="0" fontId="17" fillId="0" borderId="0" xfId="0" applyFont="1" applyBorder="1" applyAlignment="1">
      <alignment wrapText="1"/>
    </xf>
    <xf numFmtId="0" fontId="4" fillId="0" borderId="0" xfId="0" applyFont="1" applyFill="1" applyBorder="1"/>
    <xf numFmtId="0" fontId="0" fillId="0" borderId="20" xfId="0" applyBorder="1"/>
    <xf numFmtId="0" fontId="0" fillId="0" borderId="21" xfId="0" applyBorder="1"/>
    <xf numFmtId="0" fontId="0" fillId="0" borderId="21" xfId="0" applyBorder="1" applyAlignment="1">
      <alignment wrapText="1"/>
    </xf>
    <xf numFmtId="0" fontId="0" fillId="0" borderId="22" xfId="0" applyBorder="1"/>
    <xf numFmtId="0" fontId="9" fillId="0" borderId="0" xfId="0" applyFont="1" applyBorder="1" applyAlignment="1">
      <alignment horizontal="center"/>
    </xf>
    <xf numFmtId="0" fontId="16" fillId="0" borderId="0" xfId="0" applyFont="1" applyBorder="1" applyAlignment="1">
      <alignment wrapText="1"/>
    </xf>
    <xf numFmtId="0" fontId="14" fillId="0" borderId="0" xfId="0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4" fillId="0" borderId="27" xfId="0" applyFont="1" applyBorder="1"/>
    <xf numFmtId="0" fontId="0" fillId="0" borderId="28" xfId="0" applyBorder="1"/>
    <xf numFmtId="0" fontId="0" fillId="0" borderId="29" xfId="0" applyBorder="1"/>
    <xf numFmtId="0" fontId="4" fillId="0" borderId="33" xfId="0" applyFont="1" applyBorder="1"/>
    <xf numFmtId="0" fontId="4" fillId="0" borderId="34" xfId="0" applyFont="1" applyBorder="1"/>
    <xf numFmtId="0" fontId="4" fillId="0" borderId="36" xfId="0" applyFont="1" applyFill="1" applyBorder="1"/>
    <xf numFmtId="0" fontId="0" fillId="0" borderId="37" xfId="0" applyBorder="1"/>
    <xf numFmtId="0" fontId="0" fillId="0" borderId="38" xfId="0" applyBorder="1"/>
    <xf numFmtId="0" fontId="4" fillId="0" borderId="39" xfId="0" applyFont="1" applyFill="1" applyBorder="1"/>
    <xf numFmtId="0" fontId="0" fillId="0" borderId="8" xfId="0" applyBorder="1"/>
    <xf numFmtId="0" fontId="4" fillId="0" borderId="10" xfId="0" applyFont="1" applyFill="1" applyBorder="1"/>
    <xf numFmtId="0" fontId="0" fillId="0" borderId="40" xfId="0" applyBorder="1"/>
    <xf numFmtId="0" fontId="0" fillId="0" borderId="41" xfId="0" applyBorder="1"/>
    <xf numFmtId="0" fontId="4" fillId="0" borderId="30" xfId="0" applyFont="1" applyBorder="1"/>
    <xf numFmtId="0" fontId="0" fillId="0" borderId="30" xfId="0" applyBorder="1"/>
    <xf numFmtId="0" fontId="0" fillId="0" borderId="31" xfId="0" applyBorder="1"/>
    <xf numFmtId="0" fontId="4" fillId="0" borderId="21" xfId="0" applyFont="1" applyBorder="1"/>
    <xf numFmtId="0" fontId="0" fillId="0" borderId="42" xfId="0" applyBorder="1"/>
    <xf numFmtId="0" fontId="4" fillId="0" borderId="43" xfId="0" applyFont="1" applyBorder="1"/>
    <xf numFmtId="0" fontId="0" fillId="0" borderId="43" xfId="0" applyBorder="1"/>
    <xf numFmtId="0" fontId="0" fillId="0" borderId="44" xfId="0" applyBorder="1"/>
    <xf numFmtId="0" fontId="4" fillId="0" borderId="23" xfId="0" applyFont="1" applyBorder="1"/>
    <xf numFmtId="0" fontId="4" fillId="0" borderId="24" xfId="0" applyFont="1" applyFill="1" applyBorder="1"/>
    <xf numFmtId="0" fontId="4" fillId="0" borderId="46" xfId="0" applyFont="1" applyBorder="1"/>
    <xf numFmtId="0" fontId="4" fillId="0" borderId="47" xfId="0" applyFont="1" applyBorder="1"/>
    <xf numFmtId="0" fontId="4" fillId="0" borderId="28" xfId="0" applyFont="1" applyBorder="1"/>
    <xf numFmtId="0" fontId="0" fillId="0" borderId="32" xfId="0" applyBorder="1"/>
    <xf numFmtId="0" fontId="0" fillId="0" borderId="33" xfId="0" applyBorder="1"/>
    <xf numFmtId="0" fontId="0" fillId="0" borderId="0" xfId="0" quotePrefix="1"/>
    <xf numFmtId="43" fontId="0" fillId="0" borderId="0" xfId="2" applyFont="1"/>
    <xf numFmtId="166" fontId="0" fillId="0" borderId="0" xfId="2" applyNumberFormat="1" applyFont="1"/>
    <xf numFmtId="166" fontId="0" fillId="0" borderId="25" xfId="2" applyNumberFormat="1" applyFont="1" applyBorder="1"/>
    <xf numFmtId="0" fontId="4" fillId="0" borderId="25" xfId="0" applyFont="1" applyBorder="1" applyAlignment="1">
      <alignment horizontal="left"/>
    </xf>
    <xf numFmtId="166" fontId="0" fillId="0" borderId="25" xfId="2" quotePrefix="1" applyNumberFormat="1" applyFont="1" applyBorder="1"/>
    <xf numFmtId="0" fontId="4" fillId="0" borderId="50" xfId="0" applyFont="1" applyBorder="1"/>
    <xf numFmtId="166" fontId="0" fillId="0" borderId="50" xfId="2" applyNumberFormat="1" applyFont="1" applyBorder="1"/>
    <xf numFmtId="0" fontId="0" fillId="0" borderId="23" xfId="0" applyBorder="1"/>
    <xf numFmtId="0" fontId="4" fillId="0" borderId="51" xfId="0" applyFont="1" applyBorder="1"/>
    <xf numFmtId="0" fontId="0" fillId="0" borderId="51" xfId="0" applyBorder="1"/>
    <xf numFmtId="0" fontId="0" fillId="0" borderId="52" xfId="0" applyBorder="1"/>
    <xf numFmtId="166" fontId="0" fillId="0" borderId="26" xfId="2" applyNumberFormat="1" applyFont="1" applyBorder="1"/>
    <xf numFmtId="0" fontId="0" fillId="0" borderId="27" xfId="0" applyBorder="1"/>
    <xf numFmtId="166" fontId="0" fillId="0" borderId="28" xfId="2" applyNumberFormat="1" applyFont="1" applyBorder="1"/>
    <xf numFmtId="166" fontId="0" fillId="0" borderId="29" xfId="2" applyNumberFormat="1" applyFont="1" applyBorder="1"/>
    <xf numFmtId="0" fontId="0" fillId="0" borderId="53" xfId="0" applyBorder="1"/>
    <xf numFmtId="0" fontId="4" fillId="0" borderId="54" xfId="0" applyFont="1" applyBorder="1"/>
    <xf numFmtId="0" fontId="0" fillId="0" borderId="54" xfId="0" applyBorder="1"/>
    <xf numFmtId="166" fontId="0" fillId="0" borderId="54" xfId="0" applyNumberFormat="1" applyBorder="1"/>
    <xf numFmtId="166" fontId="0" fillId="0" borderId="55" xfId="0" applyNumberFormat="1" applyBorder="1"/>
    <xf numFmtId="0" fontId="0" fillId="0" borderId="56" xfId="0" applyBorder="1"/>
    <xf numFmtId="166" fontId="0" fillId="0" borderId="57" xfId="2" applyNumberFormat="1" applyFont="1" applyBorder="1"/>
    <xf numFmtId="0" fontId="0" fillId="0" borderId="45" xfId="0" applyBorder="1"/>
    <xf numFmtId="0" fontId="0" fillId="0" borderId="48" xfId="0" applyBorder="1"/>
    <xf numFmtId="166" fontId="0" fillId="0" borderId="48" xfId="0" applyNumberFormat="1" applyBorder="1"/>
    <xf numFmtId="166" fontId="0" fillId="0" borderId="49" xfId="0" applyNumberFormat="1" applyBorder="1"/>
    <xf numFmtId="0" fontId="4" fillId="0" borderId="48" xfId="0" applyFont="1" applyBorder="1" applyAlignment="1">
      <alignment horizontal="right"/>
    </xf>
    <xf numFmtId="0" fontId="0" fillId="0" borderId="4" xfId="0" applyBorder="1"/>
    <xf numFmtId="166" fontId="0" fillId="0" borderId="35" xfId="2" applyNumberFormat="1" applyFont="1" applyBorder="1"/>
    <xf numFmtId="166" fontId="0" fillId="0" borderId="15" xfId="2" applyNumberFormat="1" applyFont="1" applyBorder="1"/>
    <xf numFmtId="0" fontId="4" fillId="0" borderId="35" xfId="0" applyFont="1" applyFill="1" applyBorder="1" applyAlignment="1">
      <alignment horizontal="right"/>
    </xf>
    <xf numFmtId="43" fontId="4" fillId="0" borderId="0" xfId="2" applyFont="1"/>
    <xf numFmtId="0" fontId="3" fillId="0" borderId="0" xfId="0" applyFont="1"/>
    <xf numFmtId="43" fontId="4" fillId="0" borderId="25" xfId="2" applyFont="1" applyFill="1" applyBorder="1"/>
    <xf numFmtId="43" fontId="0" fillId="0" borderId="26" xfId="0" applyNumberFormat="1" applyBorder="1"/>
    <xf numFmtId="0" fontId="0" fillId="0" borderId="50" xfId="0" applyBorder="1"/>
    <xf numFmtId="43" fontId="4" fillId="0" borderId="50" xfId="2" applyFont="1" applyBorder="1" applyAlignment="1">
      <alignment horizontal="right"/>
    </xf>
    <xf numFmtId="43" fontId="0" fillId="0" borderId="57" xfId="0" applyNumberFormat="1" applyBorder="1"/>
    <xf numFmtId="0" fontId="0" fillId="0" borderId="58" xfId="0" applyBorder="1"/>
    <xf numFmtId="0" fontId="0" fillId="0" borderId="59" xfId="0" applyBorder="1"/>
    <xf numFmtId="43" fontId="0" fillId="0" borderId="49" xfId="0" applyNumberFormat="1" applyBorder="1"/>
    <xf numFmtId="43" fontId="4" fillId="0" borderId="54" xfId="2" applyFont="1" applyBorder="1" applyAlignment="1">
      <alignment horizontal="right"/>
    </xf>
    <xf numFmtId="8" fontId="0" fillId="0" borderId="0" xfId="0" applyNumberFormat="1"/>
    <xf numFmtId="0" fontId="0" fillId="0" borderId="60" xfId="0" applyBorder="1"/>
    <xf numFmtId="0" fontId="3" fillId="0" borderId="61" xfId="0" applyFont="1" applyBorder="1"/>
    <xf numFmtId="0" fontId="3" fillId="0" borderId="62" xfId="0" applyFont="1" applyBorder="1"/>
    <xf numFmtId="0" fontId="5" fillId="0" borderId="63" xfId="0" applyFont="1" applyFill="1" applyBorder="1" applyAlignment="1">
      <alignment wrapText="1"/>
    </xf>
    <xf numFmtId="0" fontId="0" fillId="0" borderId="64" xfId="0" applyBorder="1"/>
    <xf numFmtId="8" fontId="0" fillId="0" borderId="64" xfId="0" applyNumberFormat="1" applyBorder="1"/>
    <xf numFmtId="0" fontId="3" fillId="0" borderId="65" xfId="0" applyFont="1" applyBorder="1"/>
    <xf numFmtId="0" fontId="15" fillId="0" borderId="0" xfId="0" applyFont="1" applyBorder="1"/>
    <xf numFmtId="0" fontId="18" fillId="0" borderId="0" xfId="0" applyFont="1" applyAlignment="1"/>
    <xf numFmtId="0" fontId="15" fillId="0" borderId="0" xfId="0" applyFont="1" applyAlignme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indent="4"/>
    </xf>
    <xf numFmtId="0" fontId="20" fillId="0" borderId="0" xfId="0" applyFont="1" applyAlignment="1"/>
    <xf numFmtId="0" fontId="21" fillId="0" borderId="0" xfId="0" applyFont="1" applyAlignment="1"/>
    <xf numFmtId="0" fontId="21" fillId="0" borderId="0" xfId="0" applyFont="1" applyAlignment="1">
      <alignment wrapText="1"/>
    </xf>
    <xf numFmtId="0" fontId="4" fillId="0" borderId="0" xfId="0" applyFont="1" applyAlignment="1">
      <alignment horizontal="left" indent="4"/>
    </xf>
    <xf numFmtId="0" fontId="4" fillId="0" borderId="36" xfId="0" applyFont="1" applyBorder="1"/>
    <xf numFmtId="0" fontId="4" fillId="0" borderId="37" xfId="0" applyFont="1" applyBorder="1"/>
    <xf numFmtId="0" fontId="4" fillId="0" borderId="38" xfId="0" applyFont="1" applyBorder="1"/>
    <xf numFmtId="43" fontId="0" fillId="0" borderId="10" xfId="2" applyFont="1" applyBorder="1"/>
    <xf numFmtId="43" fontId="0" fillId="0" borderId="40" xfId="2" applyFont="1" applyBorder="1"/>
    <xf numFmtId="43" fontId="0" fillId="0" borderId="41" xfId="0" applyNumberFormat="1" applyBorder="1"/>
    <xf numFmtId="0" fontId="4" fillId="0" borderId="66" xfId="0" applyFont="1" applyBorder="1"/>
    <xf numFmtId="0" fontId="0" fillId="0" borderId="66" xfId="0" applyBorder="1"/>
    <xf numFmtId="0" fontId="0" fillId="0" borderId="67" xfId="0" applyBorder="1"/>
    <xf numFmtId="0" fontId="4" fillId="0" borderId="67" xfId="0" applyFont="1" applyBorder="1"/>
    <xf numFmtId="43" fontId="0" fillId="0" borderId="67" xfId="0" applyNumberFormat="1" applyBorder="1"/>
    <xf numFmtId="43" fontId="0" fillId="0" borderId="23" xfId="2" applyFont="1" applyBorder="1"/>
    <xf numFmtId="43" fontId="0" fillId="0" borderId="51" xfId="0" applyNumberFormat="1" applyBorder="1"/>
    <xf numFmtId="43" fontId="0" fillId="0" borderId="24" xfId="2" applyFont="1" applyBorder="1"/>
    <xf numFmtId="43" fontId="0" fillId="0" borderId="25" xfId="0" applyNumberFormat="1" applyBorder="1"/>
    <xf numFmtId="43" fontId="0" fillId="0" borderId="27" xfId="2" applyFont="1" applyBorder="1"/>
    <xf numFmtId="43" fontId="0" fillId="0" borderId="28" xfId="2" applyFont="1" applyBorder="1"/>
    <xf numFmtId="0" fontId="4" fillId="0" borderId="2" xfId="0" applyFont="1" applyBorder="1"/>
    <xf numFmtId="0" fontId="0" fillId="0" borderId="0" xfId="0" applyAlignment="1">
      <alignment wrapText="1"/>
    </xf>
    <xf numFmtId="0" fontId="4" fillId="0" borderId="0" xfId="0" applyFont="1" applyFill="1" applyBorder="1" applyAlignment="1">
      <alignment horizontal="right"/>
    </xf>
    <xf numFmtId="166" fontId="0" fillId="0" borderId="0" xfId="2" applyNumberFormat="1" applyFont="1" applyBorder="1"/>
    <xf numFmtId="0" fontId="3" fillId="0" borderId="0" xfId="0" applyFont="1" applyFill="1" applyBorder="1" applyAlignment="1">
      <alignment horizontal="left"/>
    </xf>
    <xf numFmtId="0" fontId="4" fillId="0" borderId="23" xfId="0" applyFont="1" applyFill="1" applyBorder="1" applyAlignment="1">
      <alignment horizontal="left"/>
    </xf>
    <xf numFmtId="166" fontId="0" fillId="0" borderId="51" xfId="2" applyNumberFormat="1" applyFont="1" applyBorder="1"/>
    <xf numFmtId="166" fontId="0" fillId="0" borderId="52" xfId="2" applyNumberFormat="1" applyFont="1" applyBorder="1"/>
    <xf numFmtId="0" fontId="4" fillId="0" borderId="24" xfId="0" applyFont="1" applyFill="1" applyBorder="1" applyAlignment="1">
      <alignment horizontal="left"/>
    </xf>
    <xf numFmtId="0" fontId="4" fillId="0" borderId="56" xfId="0" applyFont="1" applyFill="1" applyBorder="1" applyAlignment="1">
      <alignment horizontal="left"/>
    </xf>
    <xf numFmtId="0" fontId="3" fillId="0" borderId="45" xfId="0" applyFont="1" applyFill="1" applyBorder="1" applyAlignment="1">
      <alignment horizontal="left"/>
    </xf>
    <xf numFmtId="166" fontId="3" fillId="0" borderId="48" xfId="2" applyNumberFormat="1" applyFont="1" applyBorder="1"/>
    <xf numFmtId="166" fontId="3" fillId="0" borderId="49" xfId="2" applyNumberFormat="1" applyFont="1" applyBorder="1"/>
    <xf numFmtId="166" fontId="0" fillId="0" borderId="29" xfId="0" applyNumberFormat="1" applyBorder="1"/>
    <xf numFmtId="168" fontId="0" fillId="0" borderId="0" xfId="0" applyNumberFormat="1"/>
    <xf numFmtId="0" fontId="0" fillId="0" borderId="68" xfId="0" applyBorder="1"/>
    <xf numFmtId="0" fontId="0" fillId="0" borderId="69" xfId="0" applyBorder="1"/>
    <xf numFmtId="0" fontId="4" fillId="0" borderId="69" xfId="0" applyFont="1" applyBorder="1"/>
    <xf numFmtId="0" fontId="4" fillId="0" borderId="70" xfId="0" applyFont="1" applyBorder="1"/>
    <xf numFmtId="0" fontId="4" fillId="0" borderId="71" xfId="0" applyFont="1" applyBorder="1"/>
    <xf numFmtId="0" fontId="4" fillId="0" borderId="72" xfId="0" applyFont="1" applyBorder="1"/>
    <xf numFmtId="0" fontId="0" fillId="0" borderId="73" xfId="0" applyBorder="1"/>
    <xf numFmtId="1" fontId="4" fillId="0" borderId="26" xfId="0" applyNumberFormat="1" applyFont="1" applyBorder="1" applyAlignment="1">
      <alignment horizontal="center" vertical="center"/>
    </xf>
    <xf numFmtId="1" fontId="4" fillId="0" borderId="26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29" xfId="0" applyFont="1" applyBorder="1"/>
    <xf numFmtId="0" fontId="0" fillId="0" borderId="34" xfId="0" applyBorder="1"/>
    <xf numFmtId="0" fontId="0" fillId="0" borderId="2" xfId="0" applyBorder="1"/>
    <xf numFmtId="0" fontId="12" fillId="0" borderId="0" xfId="0" applyFont="1" applyBorder="1" applyAlignment="1"/>
    <xf numFmtId="0" fontId="0" fillId="0" borderId="35" xfId="0" applyBorder="1"/>
    <xf numFmtId="2" fontId="0" fillId="0" borderId="35" xfId="0" applyNumberFormat="1" applyBorder="1"/>
    <xf numFmtId="0" fontId="0" fillId="0" borderId="15" xfId="0" applyBorder="1"/>
    <xf numFmtId="0" fontId="23" fillId="0" borderId="51" xfId="0" applyFont="1" applyBorder="1"/>
    <xf numFmtId="0" fontId="0" fillId="0" borderId="51" xfId="0" applyBorder="1" applyAlignment="1">
      <alignment horizontal="center"/>
    </xf>
    <xf numFmtId="2" fontId="0" fillId="0" borderId="51" xfId="0" applyNumberFormat="1" applyBorder="1"/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wrapText="1"/>
    </xf>
    <xf numFmtId="43" fontId="0" fillId="0" borderId="25" xfId="2" applyFont="1" applyBorder="1" applyAlignment="1">
      <alignment vertical="center"/>
    </xf>
    <xf numFmtId="43" fontId="0" fillId="0" borderId="26" xfId="2" applyFont="1" applyBorder="1" applyAlignment="1">
      <alignment vertical="center"/>
    </xf>
    <xf numFmtId="0" fontId="23" fillId="0" borderId="25" xfId="0" applyFont="1" applyBorder="1"/>
    <xf numFmtId="43" fontId="0" fillId="0" borderId="25" xfId="2" applyFont="1" applyBorder="1" applyAlignment="1">
      <alignment horizontal="center"/>
    </xf>
    <xf numFmtId="2" fontId="0" fillId="0" borderId="25" xfId="0" applyNumberFormat="1" applyBorder="1"/>
    <xf numFmtId="43" fontId="0" fillId="0" borderId="25" xfId="2" applyFont="1" applyBorder="1"/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 wrapText="1"/>
    </xf>
    <xf numFmtId="43" fontId="0" fillId="0" borderId="28" xfId="2" applyFont="1" applyBorder="1" applyAlignment="1">
      <alignment vertical="center"/>
    </xf>
    <xf numFmtId="2" fontId="0" fillId="0" borderId="28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44" fontId="0" fillId="0" borderId="26" xfId="3" applyFont="1" applyBorder="1"/>
    <xf numFmtId="2" fontId="0" fillId="0" borderId="28" xfId="0" applyNumberFormat="1" applyBorder="1"/>
    <xf numFmtId="43" fontId="4" fillId="0" borderId="6" xfId="2" applyFont="1" applyBorder="1"/>
    <xf numFmtId="43" fontId="4" fillId="0" borderId="2" xfId="2" applyFont="1" applyBorder="1"/>
    <xf numFmtId="9" fontId="3" fillId="2" borderId="6" xfId="1" applyFont="1" applyFill="1" applyBorder="1"/>
    <xf numFmtId="10" fontId="4" fillId="0" borderId="2" xfId="1" applyNumberFormat="1" applyFont="1" applyBorder="1"/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4" fillId="0" borderId="77" xfId="0" applyFont="1" applyBorder="1" applyAlignment="1">
      <alignment wrapText="1"/>
    </xf>
    <xf numFmtId="0" fontId="4" fillId="0" borderId="78" xfId="0" applyFont="1" applyBorder="1" applyAlignment="1">
      <alignment wrapText="1"/>
    </xf>
    <xf numFmtId="0" fontId="4" fillId="0" borderId="79" xfId="0" applyFont="1" applyBorder="1" applyAlignment="1">
      <alignment wrapText="1"/>
    </xf>
    <xf numFmtId="165" fontId="4" fillId="0" borderId="66" xfId="0" applyNumberFormat="1" applyFont="1" applyBorder="1"/>
    <xf numFmtId="43" fontId="4" fillId="0" borderId="66" xfId="2" applyFont="1" applyBorder="1"/>
    <xf numFmtId="165" fontId="4" fillId="0" borderId="67" xfId="0" applyNumberFormat="1" applyFont="1" applyBorder="1"/>
    <xf numFmtId="43" fontId="4" fillId="0" borderId="67" xfId="2" applyFont="1" applyBorder="1"/>
    <xf numFmtId="0" fontId="4" fillId="0" borderId="6" xfId="0" applyFont="1" applyBorder="1"/>
    <xf numFmtId="165" fontId="4" fillId="0" borderId="66" xfId="0" applyNumberFormat="1" applyFont="1" applyBorder="1" applyProtection="1">
      <protection locked="0"/>
    </xf>
    <xf numFmtId="165" fontId="4" fillId="0" borderId="67" xfId="0" applyNumberFormat="1" applyFont="1" applyBorder="1" applyProtection="1">
      <protection locked="0"/>
    </xf>
    <xf numFmtId="43" fontId="12" fillId="0" borderId="0" xfId="2" applyFont="1" applyBorder="1" applyAlignment="1">
      <alignment horizontal="center"/>
    </xf>
    <xf numFmtId="43" fontId="4" fillId="0" borderId="9" xfId="2" applyFont="1" applyBorder="1" applyAlignment="1">
      <alignment horizontal="center"/>
    </xf>
    <xf numFmtId="43" fontId="4" fillId="0" borderId="2" xfId="2" applyFont="1" applyBorder="1" applyAlignment="1">
      <alignment horizontal="center"/>
    </xf>
    <xf numFmtId="43" fontId="4" fillId="0" borderId="66" xfId="2" applyFont="1" applyBorder="1" applyAlignment="1">
      <alignment wrapText="1"/>
    </xf>
    <xf numFmtId="43" fontId="4" fillId="0" borderId="67" xfId="2" applyFont="1" applyBorder="1" applyAlignment="1">
      <alignment wrapText="1"/>
    </xf>
    <xf numFmtId="43" fontId="4" fillId="0" borderId="11" xfId="2" applyFont="1" applyBorder="1"/>
    <xf numFmtId="0" fontId="3" fillId="0" borderId="21" xfId="0" applyFont="1" applyBorder="1"/>
    <xf numFmtId="0" fontId="12" fillId="0" borderId="64" xfId="0" applyFont="1" applyFill="1" applyBorder="1" applyAlignment="1">
      <alignment horizontal="left" vertical="top" wrapText="1"/>
    </xf>
    <xf numFmtId="0" fontId="12" fillId="0" borderId="64" xfId="0" applyFont="1" applyBorder="1" applyAlignment="1">
      <alignment vertical="top" wrapText="1"/>
    </xf>
    <xf numFmtId="0" fontId="12" fillId="0" borderId="64" xfId="0" applyFont="1" applyBorder="1" applyAlignment="1">
      <alignment horizontal="left" vertical="top" wrapText="1"/>
    </xf>
    <xf numFmtId="0" fontId="12" fillId="0" borderId="64" xfId="0" applyFont="1" applyBorder="1" applyAlignment="1">
      <alignment wrapText="1"/>
    </xf>
    <xf numFmtId="0" fontId="2" fillId="0" borderId="0" xfId="0" applyFont="1"/>
    <xf numFmtId="0" fontId="25" fillId="0" borderId="23" xfId="0" applyFont="1" applyBorder="1" applyAlignment="1">
      <alignment horizontal="center" wrapText="1"/>
    </xf>
    <xf numFmtId="0" fontId="25" fillId="0" borderId="68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/>
    <xf numFmtId="0" fontId="2" fillId="0" borderId="52" xfId="0" applyFont="1" applyBorder="1" applyAlignment="1">
      <alignment horizontal="center"/>
    </xf>
    <xf numFmtId="0" fontId="26" fillId="0" borderId="24" xfId="0" applyFont="1" applyBorder="1" applyAlignment="1">
      <alignment horizontal="center" wrapText="1"/>
    </xf>
    <xf numFmtId="0" fontId="2" fillId="0" borderId="25" xfId="0" applyFont="1" applyBorder="1" applyAlignment="1">
      <alignment horizontal="center"/>
    </xf>
    <xf numFmtId="0" fontId="2" fillId="0" borderId="26" xfId="0" applyFont="1" applyBorder="1"/>
    <xf numFmtId="0" fontId="26" fillId="0" borderId="69" xfId="0" applyFont="1" applyBorder="1" applyAlignment="1">
      <alignment horizontal="center" wrapText="1"/>
    </xf>
    <xf numFmtId="0" fontId="2" fillId="0" borderId="26" xfId="0" applyFont="1" applyBorder="1" applyAlignment="1">
      <alignment horizontal="center"/>
    </xf>
    <xf numFmtId="0" fontId="2" fillId="0" borderId="69" xfId="0" applyFont="1" applyBorder="1"/>
    <xf numFmtId="0" fontId="2" fillId="0" borderId="25" xfId="0" applyFont="1" applyBorder="1"/>
    <xf numFmtId="0" fontId="27" fillId="0" borderId="24" xfId="0" applyFont="1" applyBorder="1" applyAlignment="1">
      <alignment horizontal="left" wrapText="1" indent="1"/>
    </xf>
    <xf numFmtId="0" fontId="28" fillId="0" borderId="25" xfId="0" applyFont="1" applyBorder="1" applyAlignment="1">
      <alignment horizontal="center" wrapText="1"/>
    </xf>
    <xf numFmtId="0" fontId="27" fillId="0" borderId="69" xfId="0" applyFont="1" applyBorder="1" applyAlignment="1">
      <alignment horizontal="left" wrapText="1" indent="1"/>
    </xf>
    <xf numFmtId="0" fontId="28" fillId="0" borderId="26" xfId="0" applyFont="1" applyBorder="1" applyAlignment="1">
      <alignment horizontal="center" wrapText="1"/>
    </xf>
    <xf numFmtId="0" fontId="28" fillId="0" borderId="24" xfId="0" applyFont="1" applyBorder="1" applyAlignment="1">
      <alignment horizontal="left" wrapText="1" indent="1"/>
    </xf>
    <xf numFmtId="0" fontId="28" fillId="0" borderId="69" xfId="0" applyFont="1" applyBorder="1" applyAlignment="1">
      <alignment horizontal="left" wrapText="1" indent="1"/>
    </xf>
    <xf numFmtId="0" fontId="2" fillId="0" borderId="24" xfId="0" applyFont="1" applyBorder="1"/>
    <xf numFmtId="0" fontId="28" fillId="0" borderId="56" xfId="0" applyFont="1" applyBorder="1" applyAlignment="1">
      <alignment horizontal="left" wrapText="1" indent="1"/>
    </xf>
    <xf numFmtId="0" fontId="28" fillId="0" borderId="50" xfId="0" applyFont="1" applyBorder="1" applyAlignment="1">
      <alignment horizontal="center" wrapText="1"/>
    </xf>
    <xf numFmtId="0" fontId="2" fillId="0" borderId="29" xfId="0" applyFont="1" applyBorder="1"/>
    <xf numFmtId="0" fontId="2" fillId="0" borderId="81" xfId="0" applyFont="1" applyBorder="1"/>
    <xf numFmtId="0" fontId="2" fillId="0" borderId="29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7" xfId="0" applyFont="1" applyBorder="1"/>
    <xf numFmtId="0" fontId="2" fillId="0" borderId="66" xfId="0" applyFont="1" applyBorder="1"/>
    <xf numFmtId="0" fontId="2" fillId="0" borderId="66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2" fillId="0" borderId="51" xfId="0" applyFont="1" applyBorder="1"/>
    <xf numFmtId="0" fontId="25" fillId="0" borderId="24" xfId="0" applyFont="1" applyBorder="1" applyAlignment="1">
      <alignment horizontal="center" wrapText="1"/>
    </xf>
    <xf numFmtId="0" fontId="28" fillId="0" borderId="28" xfId="0" applyFont="1" applyBorder="1" applyAlignment="1">
      <alignment horizontal="center" wrapText="1"/>
    </xf>
    <xf numFmtId="0" fontId="2" fillId="0" borderId="64" xfId="0" applyFont="1" applyBorder="1" applyAlignment="1">
      <alignment wrapText="1"/>
    </xf>
    <xf numFmtId="43" fontId="2" fillId="0" borderId="0" xfId="0" applyNumberFormat="1" applyFont="1" applyBorder="1"/>
    <xf numFmtId="49" fontId="2" fillId="0" borderId="64" xfId="0" applyNumberFormat="1" applyFont="1" applyBorder="1" applyAlignment="1">
      <alignment vertical="center"/>
    </xf>
    <xf numFmtId="43" fontId="2" fillId="0" borderId="64" xfId="2" applyFont="1" applyBorder="1" applyAlignment="1">
      <alignment wrapText="1"/>
    </xf>
    <xf numFmtId="0" fontId="2" fillId="0" borderId="64" xfId="0" applyFont="1" applyFill="1" applyBorder="1" applyAlignment="1">
      <alignment horizontal="left" vertical="top" wrapText="1"/>
    </xf>
    <xf numFmtId="0" fontId="2" fillId="0" borderId="64" xfId="0" applyFont="1" applyFill="1" applyBorder="1"/>
    <xf numFmtId="0" fontId="2" fillId="0" borderId="64" xfId="0" applyFont="1" applyFill="1" applyBorder="1" applyAlignment="1">
      <alignment wrapText="1"/>
    </xf>
    <xf numFmtId="1" fontId="2" fillId="0" borderId="64" xfId="0" applyNumberFormat="1" applyFont="1" applyBorder="1" applyAlignment="1">
      <alignment horizontal="left" vertical="center" wrapText="1"/>
    </xf>
    <xf numFmtId="0" fontId="2" fillId="0" borderId="64" xfId="0" applyFont="1" applyBorder="1" applyAlignment="1">
      <alignment horizontal="left" vertical="top" wrapText="1"/>
    </xf>
    <xf numFmtId="43" fontId="2" fillId="0" borderId="0" xfId="2" applyFont="1" applyBorder="1"/>
    <xf numFmtId="0" fontId="2" fillId="0" borderId="64" xfId="0" applyFont="1" applyBorder="1" applyAlignment="1">
      <alignment horizontal="left" wrapText="1"/>
    </xf>
    <xf numFmtId="0" fontId="0" fillId="0" borderId="25" xfId="0" applyBorder="1" applyAlignment="1">
      <alignment horizontal="center"/>
    </xf>
    <xf numFmtId="0" fontId="29" fillId="0" borderId="0" xfId="0" applyFont="1"/>
    <xf numFmtId="43" fontId="29" fillId="0" borderId="0" xfId="2" applyFont="1"/>
    <xf numFmtId="0" fontId="23" fillId="0" borderId="0" xfId="0" applyFont="1"/>
    <xf numFmtId="43" fontId="23" fillId="0" borderId="0" xfId="2" applyFont="1"/>
    <xf numFmtId="43" fontId="23" fillId="0" borderId="0" xfId="0" applyNumberFormat="1" applyFont="1"/>
    <xf numFmtId="0" fontId="30" fillId="0" borderId="0" xfId="0" applyFont="1" applyBorder="1" applyAlignment="1">
      <alignment horizontal="center" wrapText="1"/>
    </xf>
    <xf numFmtId="0" fontId="31" fillId="0" borderId="0" xfId="0" applyFont="1" applyBorder="1" applyAlignment="1">
      <alignment horizontal="center" wrapText="1"/>
    </xf>
    <xf numFmtId="0" fontId="32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52" xfId="0" applyBorder="1" applyAlignment="1">
      <alignment horizontal="center"/>
    </xf>
    <xf numFmtId="0" fontId="0" fillId="0" borderId="47" xfId="0" applyBorder="1"/>
    <xf numFmtId="0" fontId="31" fillId="0" borderId="24" xfId="0" applyFont="1" applyBorder="1" applyAlignment="1">
      <alignment horizontal="center" wrapText="1"/>
    </xf>
    <xf numFmtId="0" fontId="31" fillId="0" borderId="69" xfId="0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0" fillId="0" borderId="61" xfId="0" applyBorder="1"/>
    <xf numFmtId="0" fontId="33" fillId="0" borderId="24" xfId="0" applyFont="1" applyBorder="1" applyAlignment="1">
      <alignment horizontal="left" wrapText="1" indent="1"/>
    </xf>
    <xf numFmtId="0" fontId="34" fillId="0" borderId="25" xfId="0" applyFont="1" applyBorder="1" applyAlignment="1">
      <alignment horizontal="center" wrapText="1"/>
    </xf>
    <xf numFmtId="0" fontId="33" fillId="0" borderId="69" xfId="0" applyFont="1" applyBorder="1" applyAlignment="1">
      <alignment horizontal="left" wrapText="1" indent="1"/>
    </xf>
    <xf numFmtId="0" fontId="34" fillId="0" borderId="26" xfId="0" applyFont="1" applyBorder="1" applyAlignment="1">
      <alignment horizontal="center" wrapText="1"/>
    </xf>
    <xf numFmtId="0" fontId="34" fillId="0" borderId="24" xfId="0" applyFont="1" applyBorder="1" applyAlignment="1">
      <alignment horizontal="left" wrapText="1" indent="1"/>
    </xf>
    <xf numFmtId="0" fontId="34" fillId="0" borderId="69" xfId="0" applyFont="1" applyBorder="1" applyAlignment="1">
      <alignment horizontal="left" wrapText="1" indent="1"/>
    </xf>
    <xf numFmtId="0" fontId="35" fillId="0" borderId="25" xfId="0" applyFont="1" applyBorder="1" applyAlignment="1">
      <alignment horizontal="center" wrapText="1"/>
    </xf>
    <xf numFmtId="0" fontId="35" fillId="0" borderId="26" xfId="0" applyFont="1" applyBorder="1" applyAlignment="1">
      <alignment horizontal="center" wrapText="1"/>
    </xf>
    <xf numFmtId="0" fontId="2" fillId="0" borderId="64" xfId="0" applyFont="1" applyFill="1" applyBorder="1" applyAlignment="1">
      <alignment horizontal="left" wrapText="1"/>
    </xf>
    <xf numFmtId="0" fontId="2" fillId="0" borderId="64" xfId="0" applyFont="1" applyBorder="1" applyAlignment="1">
      <alignment horizontal="center" wrapText="1"/>
    </xf>
    <xf numFmtId="0" fontId="1" fillId="0" borderId="0" xfId="0" applyFont="1"/>
    <xf numFmtId="0" fontId="2" fillId="0" borderId="64" xfId="0" applyFont="1" applyBorder="1" applyAlignment="1">
      <alignment horizontal="left" vertical="top"/>
    </xf>
    <xf numFmtId="43" fontId="2" fillId="0" borderId="0" xfId="2" applyFont="1" applyBorder="1" applyAlignment="1">
      <alignment wrapText="1"/>
    </xf>
    <xf numFmtId="167" fontId="2" fillId="0" borderId="64" xfId="0" applyNumberFormat="1" applyFont="1" applyFill="1" applyBorder="1"/>
    <xf numFmtId="43" fontId="2" fillId="0" borderId="64" xfId="2" applyFont="1" applyBorder="1" applyAlignment="1">
      <alignment horizontal="right"/>
    </xf>
    <xf numFmtId="43" fontId="2" fillId="0" borderId="64" xfId="2" applyFont="1" applyBorder="1"/>
    <xf numFmtId="4" fontId="2" fillId="0" borderId="64" xfId="0" applyNumberFormat="1" applyFont="1" applyBorder="1" applyAlignment="1">
      <alignment wrapText="1"/>
    </xf>
    <xf numFmtId="0" fontId="2" fillId="0" borderId="64" xfId="0" applyFont="1" applyBorder="1" applyAlignment="1">
      <alignment horizontal="center"/>
    </xf>
    <xf numFmtId="0" fontId="2" fillId="0" borderId="64" xfId="0" applyFont="1" applyBorder="1" applyAlignment="1">
      <alignment horizontal="left"/>
    </xf>
    <xf numFmtId="167" fontId="2" fillId="0" borderId="64" xfId="0" applyNumberFormat="1" applyFont="1" applyBorder="1"/>
    <xf numFmtId="43" fontId="0" fillId="0" borderId="29" xfId="2" applyFont="1" applyBorder="1"/>
    <xf numFmtId="43" fontId="0" fillId="0" borderId="51" xfId="2" applyFont="1" applyBorder="1"/>
    <xf numFmtId="43" fontId="0" fillId="0" borderId="26" xfId="2" applyFont="1" applyBorder="1"/>
    <xf numFmtId="0" fontId="0" fillId="0" borderId="24" xfId="0" applyFill="1" applyBorder="1"/>
    <xf numFmtId="43" fontId="36" fillId="0" borderId="25" xfId="2" applyFont="1" applyBorder="1"/>
    <xf numFmtId="43" fontId="36" fillId="0" borderId="26" xfId="2" applyFont="1" applyBorder="1"/>
    <xf numFmtId="43" fontId="0" fillId="0" borderId="0" xfId="2" applyFont="1" applyBorder="1"/>
    <xf numFmtId="0" fontId="0" fillId="0" borderId="4" xfId="0" applyFill="1" applyBorder="1"/>
    <xf numFmtId="43" fontId="0" fillId="0" borderId="35" xfId="2" applyFont="1" applyBorder="1"/>
    <xf numFmtId="43" fontId="0" fillId="0" borderId="15" xfId="2" applyFont="1" applyBorder="1"/>
    <xf numFmtId="0" fontId="0" fillId="0" borderId="82" xfId="0" applyBorder="1"/>
    <xf numFmtId="0" fontId="0" fillId="0" borderId="33" xfId="0" applyFill="1" applyBorder="1"/>
    <xf numFmtId="43" fontId="0" fillId="0" borderId="33" xfId="2" applyFont="1" applyBorder="1"/>
    <xf numFmtId="0" fontId="0" fillId="0" borderId="25" xfId="0" applyFill="1" applyBorder="1"/>
    <xf numFmtId="43" fontId="0" fillId="0" borderId="50" xfId="2" applyFont="1" applyBorder="1"/>
    <xf numFmtId="43" fontId="0" fillId="0" borderId="48" xfId="2" applyFont="1" applyBorder="1"/>
    <xf numFmtId="0" fontId="0" fillId="0" borderId="49" xfId="0" applyBorder="1"/>
    <xf numFmtId="0" fontId="2" fillId="0" borderId="36" xfId="0" applyFont="1" applyBorder="1"/>
    <xf numFmtId="0" fontId="0" fillId="0" borderId="39" xfId="0" applyBorder="1"/>
    <xf numFmtId="43" fontId="0" fillId="0" borderId="0" xfId="0" applyNumberFormat="1" applyBorder="1"/>
    <xf numFmtId="0" fontId="2" fillId="0" borderId="0" xfId="0" applyFont="1" applyBorder="1" applyAlignment="1">
      <alignment wrapText="1"/>
    </xf>
    <xf numFmtId="0" fontId="2" fillId="0" borderId="64" xfId="0" applyFont="1" applyBorder="1"/>
    <xf numFmtId="0" fontId="37" fillId="0" borderId="37" xfId="0" applyFont="1" applyBorder="1"/>
    <xf numFmtId="0" fontId="2" fillId="0" borderId="0" xfId="0" applyFont="1" applyBorder="1" applyAlignment="1">
      <alignment vertical="center" wrapText="1"/>
    </xf>
    <xf numFmtId="0" fontId="2" fillId="0" borderId="40" xfId="0" applyFont="1" applyBorder="1"/>
    <xf numFmtId="0" fontId="2" fillId="0" borderId="63" xfId="0" applyFont="1" applyBorder="1" applyAlignment="1">
      <alignment horizontal="center"/>
    </xf>
    <xf numFmtId="0" fontId="2" fillId="0" borderId="64" xfId="0" applyFont="1" applyBorder="1" applyAlignment="1"/>
    <xf numFmtId="0" fontId="2" fillId="0" borderId="64" xfId="0" applyFont="1" applyBorder="1" applyAlignment="1">
      <alignment vertical="top"/>
    </xf>
    <xf numFmtId="0" fontId="2" fillId="0" borderId="80" xfId="0" applyFont="1" applyBorder="1"/>
    <xf numFmtId="0" fontId="2" fillId="0" borderId="37" xfId="0" applyFont="1" applyBorder="1"/>
    <xf numFmtId="49" fontId="2" fillId="0" borderId="64" xfId="0" applyNumberFormat="1" applyFont="1" applyFill="1" applyBorder="1" applyAlignment="1">
      <alignment vertical="center" wrapText="1"/>
    </xf>
    <xf numFmtId="0" fontId="2" fillId="0" borderId="64" xfId="0" applyFont="1" applyBorder="1" applyAlignment="1">
      <alignment horizontal="right" wrapText="1"/>
    </xf>
    <xf numFmtId="49" fontId="2" fillId="0" borderId="0" xfId="0" applyNumberFormat="1" applyFont="1" applyBorder="1" applyAlignment="1">
      <alignment vertical="center"/>
    </xf>
    <xf numFmtId="167" fontId="2" fillId="0" borderId="0" xfId="0" applyNumberFormat="1" applyFont="1" applyBorder="1"/>
    <xf numFmtId="43" fontId="2" fillId="0" borderId="63" xfId="2" applyFont="1" applyBorder="1"/>
    <xf numFmtId="49" fontId="2" fillId="0" borderId="0" xfId="0" applyNumberFormat="1" applyFont="1" applyBorder="1" applyAlignment="1">
      <alignment vertical="center" wrapText="1"/>
    </xf>
    <xf numFmtId="49" fontId="2" fillId="0" borderId="36" xfId="0" applyNumberFormat="1" applyFont="1" applyBorder="1" applyAlignment="1">
      <alignment vertical="center"/>
    </xf>
    <xf numFmtId="4" fontId="2" fillId="0" borderId="37" xfId="0" applyNumberFormat="1" applyFont="1" applyBorder="1" applyAlignment="1"/>
    <xf numFmtId="49" fontId="2" fillId="0" borderId="39" xfId="0" applyNumberFormat="1" applyFont="1" applyBorder="1" applyAlignment="1">
      <alignment vertical="center"/>
    </xf>
    <xf numFmtId="4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vertical="center" wrapText="1" readingOrder="1"/>
    </xf>
    <xf numFmtId="43" fontId="2" fillId="0" borderId="65" xfId="2" applyFont="1" applyBorder="1"/>
    <xf numFmtId="167" fontId="2" fillId="0" borderId="0" xfId="0" applyNumberFormat="1" applyFont="1" applyBorder="1" applyAlignment="1">
      <alignment vertical="center" wrapText="1"/>
    </xf>
    <xf numFmtId="43" fontId="2" fillId="0" borderId="0" xfId="2" applyFont="1" applyBorder="1" applyAlignment="1">
      <alignment vertical="center" wrapText="1"/>
    </xf>
    <xf numFmtId="4" fontId="2" fillId="0" borderId="0" xfId="0" applyNumberFormat="1" applyFont="1" applyBorder="1"/>
    <xf numFmtId="49" fontId="2" fillId="0" borderId="10" xfId="0" applyNumberFormat="1" applyFont="1" applyBorder="1" applyAlignment="1">
      <alignment vertical="center"/>
    </xf>
    <xf numFmtId="0" fontId="2" fillId="0" borderId="40" xfId="0" applyFont="1" applyBorder="1" applyAlignment="1">
      <alignment vertical="top" wrapText="1"/>
    </xf>
    <xf numFmtId="164" fontId="2" fillId="0" borderId="0" xfId="2" applyNumberFormat="1" applyFont="1" applyBorder="1"/>
    <xf numFmtId="43" fontId="2" fillId="0" borderId="0" xfId="2" applyFont="1"/>
    <xf numFmtId="0" fontId="2" fillId="0" borderId="64" xfId="0" applyFont="1" applyFill="1" applyBorder="1" applyAlignment="1">
      <alignment horizontal="center"/>
    </xf>
    <xf numFmtId="0" fontId="2" fillId="0" borderId="64" xfId="0" applyFont="1" applyBorder="1" applyAlignment="1">
      <alignment vertical="top" wrapText="1"/>
    </xf>
    <xf numFmtId="167" fontId="2" fillId="0" borderId="64" xfId="0" applyNumberFormat="1" applyFont="1" applyFill="1" applyBorder="1" applyAlignment="1">
      <alignment horizontal="right"/>
    </xf>
    <xf numFmtId="43" fontId="2" fillId="0" borderId="64" xfId="2" applyFont="1" applyFill="1" applyBorder="1" applyAlignment="1">
      <alignment horizontal="right"/>
    </xf>
    <xf numFmtId="43" fontId="2" fillId="0" borderId="64" xfId="2" applyFont="1" applyFill="1" applyBorder="1"/>
    <xf numFmtId="49" fontId="2" fillId="0" borderId="64" xfId="0" applyNumberFormat="1" applyFont="1" applyBorder="1" applyAlignment="1">
      <alignment vertical="center" wrapText="1"/>
    </xf>
    <xf numFmtId="49" fontId="2" fillId="0" borderId="64" xfId="2" applyNumberFormat="1" applyFont="1" applyBorder="1" applyAlignment="1"/>
    <xf numFmtId="169" fontId="2" fillId="0" borderId="64" xfId="2" applyNumberFormat="1" applyFont="1" applyBorder="1"/>
    <xf numFmtId="49" fontId="2" fillId="0" borderId="64" xfId="0" applyNumberFormat="1" applyFont="1" applyBorder="1" applyAlignment="1"/>
    <xf numFmtId="43" fontId="2" fillId="0" borderId="64" xfId="0" applyNumberFormat="1" applyFont="1" applyBorder="1"/>
    <xf numFmtId="4" fontId="2" fillId="0" borderId="0" xfId="0" applyNumberFormat="1" applyFont="1" applyFill="1" applyBorder="1"/>
    <xf numFmtId="4" fontId="2" fillId="0" borderId="0" xfId="2" applyNumberFormat="1" applyFont="1" applyBorder="1" applyAlignment="1">
      <alignment horizontal="right"/>
    </xf>
    <xf numFmtId="49" fontId="2" fillId="0" borderId="64" xfId="0" applyNumberFormat="1" applyFont="1" applyFill="1" applyBorder="1" applyAlignment="1">
      <alignment vertical="top" wrapText="1"/>
    </xf>
    <xf numFmtId="43" fontId="2" fillId="0" borderId="64" xfId="0" applyNumberFormat="1" applyFont="1" applyBorder="1" applyAlignment="1">
      <alignment wrapText="1"/>
    </xf>
    <xf numFmtId="0" fontId="38" fillId="0" borderId="0" xfId="0" applyFont="1"/>
    <xf numFmtId="0" fontId="2" fillId="0" borderId="64" xfId="0" applyFont="1" applyBorder="1" applyAlignment="1">
      <alignment horizontal="left" wrapText="1" indent="1"/>
    </xf>
    <xf numFmtId="0" fontId="2" fillId="0" borderId="64" xfId="0" applyFont="1" applyBorder="1" applyAlignment="1">
      <alignment horizontal="right" wrapText="1" indent="1"/>
    </xf>
    <xf numFmtId="0" fontId="39" fillId="0" borderId="69" xfId="0" applyFont="1" applyBorder="1" applyAlignment="1">
      <alignment horizontal="left" wrapText="1" indent="1"/>
    </xf>
    <xf numFmtId="43" fontId="17" fillId="0" borderId="25" xfId="2" applyFont="1" applyBorder="1" applyAlignment="1">
      <alignment horizontal="center" wrapText="1"/>
    </xf>
    <xf numFmtId="0" fontId="2" fillId="0" borderId="61" xfId="0" applyFont="1" applyBorder="1"/>
    <xf numFmtId="0" fontId="40" fillId="0" borderId="0" xfId="0" applyFont="1"/>
    <xf numFmtId="0" fontId="41" fillId="0" borderId="0" xfId="0" applyFont="1"/>
    <xf numFmtId="0" fontId="5" fillId="0" borderId="0" xfId="0" applyFont="1" applyAlignment="1">
      <alignment horizontal="left" wrapText="1"/>
    </xf>
    <xf numFmtId="0" fontId="42" fillId="0" borderId="0" xfId="0" applyFont="1"/>
    <xf numFmtId="0" fontId="2" fillId="0" borderId="64" xfId="0" applyFont="1" applyFill="1" applyBorder="1" applyAlignment="1">
      <alignment horizontal="left" wrapText="1" indent="1"/>
    </xf>
    <xf numFmtId="49" fontId="2" fillId="0" borderId="80" xfId="0" applyNumberFormat="1" applyFont="1" applyBorder="1" applyAlignment="1">
      <alignment vertical="center"/>
    </xf>
    <xf numFmtId="0" fontId="2" fillId="0" borderId="80" xfId="0" applyFont="1" applyFill="1" applyBorder="1"/>
    <xf numFmtId="167" fontId="2" fillId="0" borderId="80" xfId="0" applyNumberFormat="1" applyFont="1" applyBorder="1"/>
    <xf numFmtId="43" fontId="2" fillId="0" borderId="80" xfId="2" applyFont="1" applyBorder="1"/>
    <xf numFmtId="167" fontId="2" fillId="0" borderId="37" xfId="0" applyNumberFormat="1" applyFont="1" applyBorder="1"/>
    <xf numFmtId="43" fontId="2" fillId="0" borderId="37" xfId="2" applyFont="1" applyBorder="1"/>
    <xf numFmtId="43" fontId="2" fillId="0" borderId="37" xfId="2" applyFont="1" applyFill="1" applyBorder="1"/>
    <xf numFmtId="43" fontId="2" fillId="0" borderId="0" xfId="2" applyFont="1" applyFill="1" applyBorder="1"/>
    <xf numFmtId="167" fontId="2" fillId="0" borderId="40" xfId="0" applyNumberFormat="1" applyFont="1" applyBorder="1"/>
    <xf numFmtId="43" fontId="2" fillId="0" borderId="40" xfId="2" applyFont="1" applyBorder="1"/>
    <xf numFmtId="4" fontId="2" fillId="0" borderId="38" xfId="0" applyNumberFormat="1" applyFont="1" applyBorder="1" applyAlignment="1"/>
    <xf numFmtId="4" fontId="2" fillId="0" borderId="8" xfId="0" applyNumberFormat="1" applyFont="1" applyBorder="1" applyAlignment="1">
      <alignment wrapText="1"/>
    </xf>
    <xf numFmtId="0" fontId="2" fillId="0" borderId="8" xfId="0" applyFont="1" applyBorder="1" applyAlignment="1">
      <alignment vertical="center" wrapText="1" readingOrder="1"/>
    </xf>
    <xf numFmtId="0" fontId="43" fillId="0" borderId="0" xfId="0" applyFont="1" applyBorder="1" applyAlignment="1">
      <alignment horizontal="center" vertical="center" wrapText="1"/>
    </xf>
    <xf numFmtId="43" fontId="2" fillId="0" borderId="8" xfId="2" applyFont="1" applyBorder="1" applyAlignment="1">
      <alignment vertical="center" wrapText="1"/>
    </xf>
    <xf numFmtId="0" fontId="2" fillId="0" borderId="40" xfId="0" applyFont="1" applyBorder="1" applyAlignment="1">
      <alignment horizontal="center"/>
    </xf>
    <xf numFmtId="10" fontId="2" fillId="0" borderId="41" xfId="1" applyNumberFormat="1" applyFont="1" applyBorder="1"/>
    <xf numFmtId="49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distributed" wrapText="1"/>
    </xf>
    <xf numFmtId="167" fontId="2" fillId="0" borderId="2" xfId="0" applyNumberFormat="1" applyFont="1" applyBorder="1" applyAlignment="1">
      <alignment vertical="distributed" wrapText="1"/>
    </xf>
    <xf numFmtId="43" fontId="2" fillId="0" borderId="2" xfId="2" applyFont="1" applyBorder="1" applyAlignment="1">
      <alignment vertical="distributed" wrapText="1"/>
    </xf>
    <xf numFmtId="43" fontId="2" fillId="0" borderId="2" xfId="2" applyFont="1" applyBorder="1" applyAlignment="1">
      <alignment vertical="distributed"/>
    </xf>
    <xf numFmtId="49" fontId="2" fillId="0" borderId="63" xfId="0" applyNumberFormat="1" applyFont="1" applyBorder="1" applyAlignment="1">
      <alignment horizontal="center"/>
    </xf>
    <xf numFmtId="0" fontId="2" fillId="0" borderId="63" xfId="0" applyFont="1" applyBorder="1" applyAlignment="1">
      <alignment horizontal="center" wrapText="1"/>
    </xf>
    <xf numFmtId="2" fontId="2" fillId="0" borderId="63" xfId="0" applyNumberFormat="1" applyFont="1" applyBorder="1" applyAlignment="1">
      <alignment horizontal="center"/>
    </xf>
    <xf numFmtId="167" fontId="2" fillId="0" borderId="63" xfId="0" applyNumberFormat="1" applyFont="1" applyBorder="1" applyAlignment="1">
      <alignment horizontal="center"/>
    </xf>
    <xf numFmtId="43" fontId="2" fillId="0" borderId="63" xfId="2" applyFont="1" applyBorder="1" applyAlignment="1">
      <alignment horizontal="center"/>
    </xf>
    <xf numFmtId="43" fontId="2" fillId="0" borderId="0" xfId="0" applyNumberFormat="1" applyFont="1" applyBorder="1" applyAlignment="1">
      <alignment horizontal="center"/>
    </xf>
    <xf numFmtId="43" fontId="2" fillId="0" borderId="0" xfId="2" applyFont="1" applyBorder="1" applyAlignment="1">
      <alignment horizontal="center"/>
    </xf>
    <xf numFmtId="43" fontId="2" fillId="0" borderId="64" xfId="2" applyFont="1" applyBorder="1" applyAlignment="1">
      <alignment horizontal="center"/>
    </xf>
    <xf numFmtId="0" fontId="2" fillId="0" borderId="0" xfId="0" applyFont="1" applyBorder="1" applyAlignment="1"/>
    <xf numFmtId="167" fontId="2" fillId="0" borderId="64" xfId="0" applyNumberFormat="1" applyFont="1" applyBorder="1" applyAlignment="1"/>
    <xf numFmtId="43" fontId="2" fillId="0" borderId="64" xfId="2" applyFont="1" applyBorder="1" applyAlignment="1"/>
    <xf numFmtId="49" fontId="2" fillId="0" borderId="64" xfId="0" applyNumberFormat="1" applyFont="1" applyBorder="1" applyAlignment="1">
      <alignment horizontal="center"/>
    </xf>
    <xf numFmtId="167" fontId="2" fillId="0" borderId="64" xfId="0" applyNumberFormat="1" applyFont="1" applyFill="1" applyBorder="1" applyAlignment="1">
      <alignment horizontal="center"/>
    </xf>
    <xf numFmtId="43" fontId="2" fillId="0" borderId="64" xfId="2" applyFont="1" applyFill="1" applyBorder="1" applyAlignment="1">
      <alignment horizontal="center"/>
    </xf>
    <xf numFmtId="4" fontId="2" fillId="0" borderId="64" xfId="0" applyNumberFormat="1" applyFont="1" applyFill="1" applyBorder="1" applyAlignment="1">
      <alignment horizontal="left" wrapText="1"/>
    </xf>
    <xf numFmtId="4" fontId="2" fillId="0" borderId="64" xfId="0" applyNumberFormat="1" applyFont="1" applyFill="1" applyBorder="1"/>
    <xf numFmtId="43" fontId="2" fillId="0" borderId="38" xfId="2" applyFont="1" applyBorder="1"/>
    <xf numFmtId="43" fontId="2" fillId="0" borderId="8" xfId="2" applyFont="1" applyBorder="1"/>
    <xf numFmtId="43" fontId="2" fillId="0" borderId="41" xfId="2" applyFont="1" applyBorder="1"/>
    <xf numFmtId="165" fontId="2" fillId="0" borderId="66" xfId="0" applyNumberFormat="1" applyFont="1" applyBorder="1" applyProtection="1">
      <protection locked="0"/>
    </xf>
    <xf numFmtId="10" fontId="4" fillId="0" borderId="66" xfId="0" applyNumberFormat="1" applyFont="1" applyBorder="1"/>
    <xf numFmtId="10" fontId="4" fillId="0" borderId="67" xfId="0" applyNumberFormat="1" applyFont="1" applyBorder="1"/>
    <xf numFmtId="4" fontId="2" fillId="0" borderId="0" xfId="0" applyNumberFormat="1" applyFont="1" applyBorder="1"/>
    <xf numFmtId="4" fontId="2" fillId="0" borderId="8" xfId="0" applyNumberFormat="1" applyFont="1" applyBorder="1"/>
    <xf numFmtId="0" fontId="12" fillId="0" borderId="37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Alignment="1"/>
    <xf numFmtId="43" fontId="3" fillId="0" borderId="16" xfId="2" applyFont="1" applyBorder="1" applyAlignment="1">
      <alignment horizontal="left"/>
    </xf>
    <xf numFmtId="43" fontId="4" fillId="0" borderId="17" xfId="2" applyFont="1" applyBorder="1" applyAlignment="1">
      <alignment horizontal="left"/>
    </xf>
    <xf numFmtId="164" fontId="3" fillId="0" borderId="16" xfId="0" applyNumberFormat="1" applyFont="1" applyBorder="1" applyAlignment="1">
      <alignment horizontal="left"/>
    </xf>
    <xf numFmtId="0" fontId="4" fillId="0" borderId="17" xfId="0" applyFont="1" applyBorder="1" applyAlignment="1"/>
    <xf numFmtId="0" fontId="4" fillId="0" borderId="74" xfId="0" applyFont="1" applyBorder="1" applyAlignment="1">
      <alignment horizontal="center"/>
    </xf>
    <xf numFmtId="0" fontId="4" fillId="0" borderId="75" xfId="0" applyFont="1" applyBorder="1" applyAlignment="1">
      <alignment horizontal="center"/>
    </xf>
    <xf numFmtId="0" fontId="4" fillId="0" borderId="76" xfId="0" applyFont="1" applyBorder="1" applyAlignment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/>
    <xf numFmtId="0" fontId="8" fillId="0" borderId="0" xfId="0" applyFont="1" applyBorder="1" applyAlignment="1">
      <alignment horizontal="center"/>
    </xf>
    <xf numFmtId="0" fontId="0" fillId="0" borderId="0" xfId="0" applyBorder="1" applyAlignment="1"/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3" xfId="0" applyFont="1" applyBorder="1"/>
    <xf numFmtId="0" fontId="4" fillId="0" borderId="2" xfId="0" applyFont="1" applyBorder="1"/>
    <xf numFmtId="0" fontId="4" fillId="2" borderId="3" xfId="0" applyFont="1" applyFill="1" applyBorder="1"/>
    <xf numFmtId="0" fontId="4" fillId="2" borderId="2" xfId="0" applyFont="1" applyFill="1" applyBorder="1"/>
    <xf numFmtId="0" fontId="4" fillId="2" borderId="14" xfId="0" applyFont="1" applyFill="1" applyBorder="1"/>
    <xf numFmtId="0" fontId="4" fillId="2" borderId="6" xfId="0" applyFont="1" applyFill="1" applyBorder="1"/>
    <xf numFmtId="0" fontId="4" fillId="0" borderId="1" xfId="0" applyFont="1" applyBorder="1"/>
    <xf numFmtId="0" fontId="4" fillId="0" borderId="5" xfId="0" applyFont="1" applyBorder="1"/>
    <xf numFmtId="0" fontId="4" fillId="0" borderId="18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4" fillId="0" borderId="9" xfId="0" applyFont="1" applyBorder="1" applyAlignment="1">
      <alignment horizontal="center"/>
    </xf>
    <xf numFmtId="0" fontId="4" fillId="0" borderId="6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0" fontId="0" fillId="0" borderId="25" xfId="0" applyBorder="1" applyAlignment="1">
      <alignment horizontal="center"/>
    </xf>
  </cellXfs>
  <cellStyles count="4">
    <cellStyle name="Moeda" xfId="3" builtinId="4"/>
    <cellStyle name="Normal" xfId="0" builtinId="0"/>
    <cellStyle name="Pe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7" Type="http://schemas.openxmlformats.org/officeDocument/2006/relationships/image" Target="../media/image14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Relationship Id="rId6" Type="http://schemas.openxmlformats.org/officeDocument/2006/relationships/image" Target="../media/image13.png"/><Relationship Id="rId5" Type="http://schemas.openxmlformats.org/officeDocument/2006/relationships/image" Target="../media/image12.png"/><Relationship Id="rId4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659607</xdr:colOff>
      <xdr:row>3</xdr:row>
      <xdr:rowOff>50005</xdr:rowOff>
    </xdr:from>
    <xdr:to>
      <xdr:col>3</xdr:col>
      <xdr:colOff>426730</xdr:colOff>
      <xdr:row>7</xdr:row>
      <xdr:rowOff>54768</xdr:rowOff>
    </xdr:to>
    <xdr:pic>
      <xdr:nvPicPr>
        <xdr:cNvPr id="2031" name="Imagem 2" descr="Logo JP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9607" y="1026318"/>
          <a:ext cx="838686" cy="873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11908</xdr:colOff>
      <xdr:row>11</xdr:row>
      <xdr:rowOff>59532</xdr:rowOff>
    </xdr:from>
    <xdr:to>
      <xdr:col>15</xdr:col>
      <xdr:colOff>547689</xdr:colOff>
      <xdr:row>17</xdr:row>
      <xdr:rowOff>52399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27597" t="24930" r="31061" b="25443"/>
        <a:stretch>
          <a:fillRect/>
        </a:stretch>
      </xdr:blipFill>
      <xdr:spPr bwMode="auto">
        <a:xfrm>
          <a:off x="12918283" y="2917032"/>
          <a:ext cx="2405062" cy="16359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1609726</xdr:colOff>
      <xdr:row>2</xdr:row>
      <xdr:rowOff>108205</xdr:rowOff>
    </xdr:to>
    <xdr:pic>
      <xdr:nvPicPr>
        <xdr:cNvPr id="2515" name="Picture 467" descr="Universidade Estadual do Norte do Paraná | UEN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"/>
          <a:ext cx="2019300" cy="565404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371476</xdr:colOff>
      <xdr:row>56</xdr:row>
      <xdr:rowOff>66674</xdr:rowOff>
    </xdr:from>
    <xdr:to>
      <xdr:col>13</xdr:col>
      <xdr:colOff>66676</xdr:colOff>
      <xdr:row>64</xdr:row>
      <xdr:rowOff>9524</xdr:rowOff>
    </xdr:to>
    <xdr:pic>
      <xdr:nvPicPr>
        <xdr:cNvPr id="51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5702" t="14019" r="37397" b="2927"/>
        <a:stretch>
          <a:fillRect/>
        </a:stretch>
      </xdr:blipFill>
      <xdr:spPr bwMode="auto">
        <a:xfrm>
          <a:off x="11934826" y="11515724"/>
          <a:ext cx="1400175" cy="1400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371475</xdr:colOff>
      <xdr:row>49</xdr:row>
      <xdr:rowOff>51748</xdr:rowOff>
    </xdr:from>
    <xdr:to>
      <xdr:col>12</xdr:col>
      <xdr:colOff>495300</xdr:colOff>
      <xdr:row>56</xdr:row>
      <xdr:rowOff>38100</xdr:rowOff>
    </xdr:to>
    <xdr:pic>
      <xdr:nvPicPr>
        <xdr:cNvPr id="51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16410" t="16150" r="37778" b="3632"/>
        <a:stretch>
          <a:fillRect/>
        </a:stretch>
      </xdr:blipFill>
      <xdr:spPr bwMode="auto">
        <a:xfrm>
          <a:off x="11934825" y="10281598"/>
          <a:ext cx="1219200" cy="120555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13</xdr:col>
      <xdr:colOff>142875</xdr:colOff>
      <xdr:row>48</xdr:row>
      <xdr:rowOff>163088</xdr:rowOff>
    </xdr:from>
    <xdr:to>
      <xdr:col>15</xdr:col>
      <xdr:colOff>57150</xdr:colOff>
      <xdr:row>56</xdr:row>
      <xdr:rowOff>227437</xdr:rowOff>
    </xdr:to>
    <xdr:pic>
      <xdr:nvPicPr>
        <xdr:cNvPr id="51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22926" t="15598" r="44947" b="10417"/>
        <a:stretch>
          <a:fillRect/>
        </a:stretch>
      </xdr:blipFill>
      <xdr:spPr bwMode="auto">
        <a:xfrm>
          <a:off x="13411200" y="10202438"/>
          <a:ext cx="1133475" cy="14740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15</xdr:col>
      <xdr:colOff>66674</xdr:colOff>
      <xdr:row>48</xdr:row>
      <xdr:rowOff>127999</xdr:rowOff>
    </xdr:from>
    <xdr:to>
      <xdr:col>16</xdr:col>
      <xdr:colOff>609599</xdr:colOff>
      <xdr:row>56</xdr:row>
      <xdr:rowOff>291838</xdr:rowOff>
    </xdr:to>
    <xdr:pic>
      <xdr:nvPicPr>
        <xdr:cNvPr id="512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25201" t="21576" r="45442" b="7448"/>
        <a:stretch>
          <a:fillRect/>
        </a:stretch>
      </xdr:blipFill>
      <xdr:spPr bwMode="auto">
        <a:xfrm>
          <a:off x="14554199" y="10167349"/>
          <a:ext cx="1152525" cy="15735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13</xdr:col>
      <xdr:colOff>314324</xdr:colOff>
      <xdr:row>56</xdr:row>
      <xdr:rowOff>219076</xdr:rowOff>
    </xdr:from>
    <xdr:to>
      <xdr:col>15</xdr:col>
      <xdr:colOff>19049</xdr:colOff>
      <xdr:row>64</xdr:row>
      <xdr:rowOff>61867</xdr:rowOff>
    </xdr:to>
    <xdr:pic>
      <xdr:nvPicPr>
        <xdr:cNvPr id="512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23637" t="18758" r="45678" b="4779"/>
        <a:stretch>
          <a:fillRect/>
        </a:stretch>
      </xdr:blipFill>
      <xdr:spPr bwMode="auto">
        <a:xfrm>
          <a:off x="13582649" y="11668126"/>
          <a:ext cx="923925" cy="130011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600075</xdr:colOff>
      <xdr:row>57</xdr:row>
      <xdr:rowOff>9526</xdr:rowOff>
    </xdr:from>
    <xdr:to>
      <xdr:col>16</xdr:col>
      <xdr:colOff>133350</xdr:colOff>
      <xdr:row>63</xdr:row>
      <xdr:rowOff>55092</xdr:rowOff>
    </xdr:to>
    <xdr:pic>
      <xdr:nvPicPr>
        <xdr:cNvPr id="512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23685" t="19575" r="44883" b="5189"/>
        <a:stretch>
          <a:fillRect/>
        </a:stretch>
      </xdr:blipFill>
      <xdr:spPr bwMode="auto">
        <a:xfrm>
          <a:off x="14478000" y="11782426"/>
          <a:ext cx="752475" cy="101711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504825</xdr:colOff>
      <xdr:row>48</xdr:row>
      <xdr:rowOff>156141</xdr:rowOff>
    </xdr:from>
    <xdr:to>
      <xdr:col>20</xdr:col>
      <xdr:colOff>457200</xdr:colOff>
      <xdr:row>56</xdr:row>
      <xdr:rowOff>315845</xdr:rowOff>
    </xdr:to>
    <xdr:pic>
      <xdr:nvPicPr>
        <xdr:cNvPr id="512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l="5882" t="22786" r="34191" b="7552"/>
        <a:stretch>
          <a:fillRect/>
        </a:stretch>
      </xdr:blipFill>
      <xdr:spPr bwMode="auto">
        <a:xfrm>
          <a:off x="15601950" y="10195491"/>
          <a:ext cx="2390775" cy="156940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180975</xdr:colOff>
      <xdr:row>57</xdr:row>
      <xdr:rowOff>9525</xdr:rowOff>
    </xdr:from>
    <xdr:to>
      <xdr:col>19</xdr:col>
      <xdr:colOff>485775</xdr:colOff>
      <xdr:row>62</xdr:row>
      <xdr:rowOff>95250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l="14945" t="38095" r="-2744" b="5952"/>
        <a:stretch>
          <a:fillRect/>
        </a:stretch>
      </xdr:blipFill>
      <xdr:spPr bwMode="auto">
        <a:xfrm>
          <a:off x="15478125" y="9515475"/>
          <a:ext cx="213360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338666</xdr:colOff>
      <xdr:row>86</xdr:row>
      <xdr:rowOff>328083</xdr:rowOff>
    </xdr:from>
    <xdr:to>
      <xdr:col>10</xdr:col>
      <xdr:colOff>222248</xdr:colOff>
      <xdr:row>91</xdr:row>
      <xdr:rowOff>124977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7087" t="16184" r="42471" b="24484"/>
        <a:stretch>
          <a:fillRect/>
        </a:stretch>
      </xdr:blipFill>
      <xdr:spPr bwMode="auto">
        <a:xfrm>
          <a:off x="7122583" y="16234833"/>
          <a:ext cx="1777998" cy="143731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264582</xdr:colOff>
      <xdr:row>86</xdr:row>
      <xdr:rowOff>264584</xdr:rowOff>
    </xdr:from>
    <xdr:to>
      <xdr:col>7</xdr:col>
      <xdr:colOff>307150</xdr:colOff>
      <xdr:row>91</xdr:row>
      <xdr:rowOff>140758</xdr:rowOff>
    </xdr:to>
    <xdr:pic>
      <xdr:nvPicPr>
        <xdr:cNvPr id="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24552" t="17327" r="44263" b="17923"/>
        <a:stretch>
          <a:fillRect/>
        </a:stretch>
      </xdr:blipFill>
      <xdr:spPr bwMode="auto">
        <a:xfrm>
          <a:off x="5767915" y="16171334"/>
          <a:ext cx="1323152" cy="15165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328084</xdr:colOff>
      <xdr:row>86</xdr:row>
      <xdr:rowOff>359833</xdr:rowOff>
    </xdr:from>
    <xdr:to>
      <xdr:col>11</xdr:col>
      <xdr:colOff>547159</xdr:colOff>
      <xdr:row>91</xdr:row>
      <xdr:rowOff>91348</xdr:rowOff>
    </xdr:to>
    <xdr:pic>
      <xdr:nvPicPr>
        <xdr:cNvPr id="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31962" t="8200" r="33141" b="12095"/>
        <a:stretch>
          <a:fillRect/>
        </a:stretch>
      </xdr:blipFill>
      <xdr:spPr bwMode="auto">
        <a:xfrm>
          <a:off x="9006417" y="16266583"/>
          <a:ext cx="832909" cy="137193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518584</xdr:colOff>
      <xdr:row>5</xdr:row>
      <xdr:rowOff>127000</xdr:rowOff>
    </xdr:from>
    <xdr:to>
      <xdr:col>16</xdr:col>
      <xdr:colOff>74567</xdr:colOff>
      <xdr:row>34</xdr:row>
      <xdr:rowOff>116417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3529" t="16146" r="35956" b="4036"/>
        <a:stretch>
          <a:fillRect/>
        </a:stretch>
      </xdr:blipFill>
      <xdr:spPr bwMode="auto">
        <a:xfrm>
          <a:off x="6424084" y="920750"/>
          <a:ext cx="5757816" cy="500591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7123</xdr:colOff>
      <xdr:row>6</xdr:row>
      <xdr:rowOff>42334</xdr:rowOff>
    </xdr:from>
    <xdr:to>
      <xdr:col>4</xdr:col>
      <xdr:colOff>564174</xdr:colOff>
      <xdr:row>12</xdr:row>
      <xdr:rowOff>52918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13971" t="17057" r="36176" b="8333"/>
        <a:stretch>
          <a:fillRect/>
        </a:stretch>
      </xdr:blipFill>
      <xdr:spPr bwMode="auto">
        <a:xfrm>
          <a:off x="2663540" y="518584"/>
          <a:ext cx="1170884" cy="96308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550334</xdr:colOff>
      <xdr:row>5</xdr:row>
      <xdr:rowOff>148167</xdr:rowOff>
    </xdr:from>
    <xdr:to>
      <xdr:col>5</xdr:col>
      <xdr:colOff>1054100</xdr:colOff>
      <xdr:row>12</xdr:row>
      <xdr:rowOff>111751</xdr:rowOff>
    </xdr:to>
    <xdr:pic>
      <xdr:nvPicPr>
        <xdr:cNvPr id="30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16100" t="18886" r="39320" b="3486"/>
        <a:stretch>
          <a:fillRect/>
        </a:stretch>
      </xdr:blipFill>
      <xdr:spPr bwMode="auto">
        <a:xfrm>
          <a:off x="3820584" y="465667"/>
          <a:ext cx="1121833" cy="107483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402168</xdr:colOff>
      <xdr:row>6</xdr:row>
      <xdr:rowOff>10585</xdr:rowOff>
    </xdr:from>
    <xdr:to>
      <xdr:col>10</xdr:col>
      <xdr:colOff>582085</xdr:colOff>
      <xdr:row>11</xdr:row>
      <xdr:rowOff>147815</xdr:rowOff>
    </xdr:to>
    <xdr:pic>
      <xdr:nvPicPr>
        <xdr:cNvPr id="307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25479" t="19035" r="28270" b="25336"/>
        <a:stretch>
          <a:fillRect/>
        </a:stretch>
      </xdr:blipFill>
      <xdr:spPr bwMode="auto">
        <a:xfrm>
          <a:off x="6127751" y="486835"/>
          <a:ext cx="1407583" cy="9309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502710</xdr:colOff>
      <xdr:row>22</xdr:row>
      <xdr:rowOff>1058</xdr:rowOff>
    </xdr:from>
    <xdr:to>
      <xdr:col>1</xdr:col>
      <xdr:colOff>1666875</xdr:colOff>
      <xdr:row>31</xdr:row>
      <xdr:rowOff>9619</xdr:rowOff>
    </xdr:to>
    <xdr:pic>
      <xdr:nvPicPr>
        <xdr:cNvPr id="307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17087" t="16184" r="42471" b="24484"/>
        <a:stretch>
          <a:fillRect/>
        </a:stretch>
      </xdr:blipFill>
      <xdr:spPr bwMode="auto">
        <a:xfrm>
          <a:off x="502710" y="3077633"/>
          <a:ext cx="1773765" cy="146588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9524</xdr:colOff>
      <xdr:row>22</xdr:row>
      <xdr:rowOff>64560</xdr:rowOff>
    </xdr:from>
    <xdr:to>
      <xdr:col>4</xdr:col>
      <xdr:colOff>52093</xdr:colOff>
      <xdr:row>31</xdr:row>
      <xdr:rowOff>152401</xdr:rowOff>
    </xdr:to>
    <xdr:pic>
      <xdr:nvPicPr>
        <xdr:cNvPr id="307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24552" t="17327" r="44263" b="17923"/>
        <a:stretch>
          <a:fillRect/>
        </a:stretch>
      </xdr:blipFill>
      <xdr:spPr bwMode="auto">
        <a:xfrm>
          <a:off x="2447924" y="3141135"/>
          <a:ext cx="1318919" cy="154516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219075</xdr:colOff>
      <xdr:row>23</xdr:row>
      <xdr:rowOff>66675</xdr:rowOff>
    </xdr:from>
    <xdr:to>
      <xdr:col>5</xdr:col>
      <xdr:colOff>438150</xdr:colOff>
      <xdr:row>32</xdr:row>
      <xdr:rowOff>9857</xdr:rowOff>
    </xdr:to>
    <xdr:pic>
      <xdr:nvPicPr>
        <xdr:cNvPr id="307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l="31962" t="8200" r="33141" b="12095"/>
        <a:stretch>
          <a:fillRect/>
        </a:stretch>
      </xdr:blipFill>
      <xdr:spPr bwMode="auto">
        <a:xfrm>
          <a:off x="3933825" y="3305175"/>
          <a:ext cx="828675" cy="1400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_CCP_PD_LICITA&#199;&#195;O/ELETRICO/MATERIAL%20ELETRICO%20+TEL%20+%20LOG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lan2"/>
      <sheetName val="Plan3"/>
    </sheetNames>
    <sheetDataSet>
      <sheetData sheetId="0">
        <row r="29">
          <cell r="J29">
            <v>3860</v>
          </cell>
        </row>
        <row r="30">
          <cell r="J30">
            <v>5830</v>
          </cell>
        </row>
        <row r="31">
          <cell r="J31">
            <v>2420</v>
          </cell>
        </row>
        <row r="32">
          <cell r="J32">
            <v>11810</v>
          </cell>
        </row>
        <row r="33">
          <cell r="J33">
            <v>2345</v>
          </cell>
        </row>
        <row r="34">
          <cell r="J34">
            <v>3750</v>
          </cell>
        </row>
        <row r="35">
          <cell r="J35">
            <v>1650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87"/>
  <sheetViews>
    <sheetView topLeftCell="B7" zoomScale="80" zoomScaleNormal="80" workbookViewId="0">
      <pane ySplit="750" topLeftCell="A22" activePane="bottomLeft"/>
      <selection activeCell="L7" sqref="L7"/>
      <selection pane="bottomLeft" activeCell="K21" sqref="K21"/>
    </sheetView>
  </sheetViews>
  <sheetFormatPr defaultColWidth="9.140625" defaultRowHeight="12.75"/>
  <cols>
    <col min="1" max="1" width="9.140625" style="252"/>
    <col min="2" max="2" width="10" style="343" bestFit="1" customWidth="1"/>
    <col min="3" max="3" width="6" style="252" bestFit="1" customWidth="1"/>
    <col min="4" max="4" width="72.42578125" style="252" customWidth="1"/>
    <col min="5" max="5" width="7.5703125" style="252" bestFit="1" customWidth="1"/>
    <col min="6" max="6" width="8.7109375" style="344" bestFit="1" customWidth="1"/>
    <col min="7" max="7" width="11.28515625" style="272" bestFit="1" customWidth="1"/>
    <col min="8" max="8" width="13.85546875" style="272" customWidth="1"/>
    <col min="9" max="9" width="10" style="272" bestFit="1" customWidth="1"/>
    <col min="10" max="10" width="13.85546875" style="272" customWidth="1"/>
    <col min="11" max="11" width="15.85546875" style="272" customWidth="1"/>
    <col min="12" max="12" width="15.85546875" style="252" customWidth="1"/>
    <col min="13" max="13" width="1.42578125" style="272" customWidth="1"/>
    <col min="14" max="14" width="14.28515625" style="272" customWidth="1"/>
    <col min="15" max="15" width="13.7109375" style="252" bestFit="1" customWidth="1"/>
    <col min="16" max="16" width="19.42578125" style="252" customWidth="1"/>
    <col min="17" max="16384" width="9.140625" style="252"/>
  </cols>
  <sheetData>
    <row r="1" spans="2:16">
      <c r="N1" s="345" t="s">
        <v>697</v>
      </c>
    </row>
    <row r="2" spans="2:16" ht="51">
      <c r="B2" s="346"/>
      <c r="H2" s="272">
        <f>SUM(H11:H381)</f>
        <v>6829747.54</v>
      </c>
      <c r="N2" s="266" t="s">
        <v>521</v>
      </c>
    </row>
    <row r="3" spans="2:16">
      <c r="B3" s="347"/>
      <c r="C3" s="333"/>
      <c r="D3" s="432" t="s">
        <v>0</v>
      </c>
      <c r="E3" s="432"/>
      <c r="F3" s="432"/>
      <c r="G3" s="432"/>
      <c r="H3" s="432"/>
      <c r="I3" s="432"/>
      <c r="J3" s="348" t="s">
        <v>7</v>
      </c>
      <c r="K3" s="395"/>
      <c r="N3" s="306">
        <f>H2</f>
        <v>6829747.54</v>
      </c>
    </row>
    <row r="4" spans="2:16" ht="25.5" customHeight="1">
      <c r="B4" s="349"/>
      <c r="D4" s="433" t="s">
        <v>796</v>
      </c>
      <c r="E4" s="433"/>
      <c r="F4" s="433"/>
      <c r="G4" s="433"/>
      <c r="H4" s="433"/>
      <c r="I4" s="433"/>
      <c r="J4" s="350" t="s">
        <v>50</v>
      </c>
      <c r="K4" s="396" t="s">
        <v>793</v>
      </c>
      <c r="N4" s="306">
        <v>2400000</v>
      </c>
    </row>
    <row r="5" spans="2:16" ht="15" customHeight="1">
      <c r="B5" s="349"/>
      <c r="D5" s="434" t="s">
        <v>31</v>
      </c>
      <c r="E5" s="434"/>
      <c r="F5" s="434"/>
      <c r="G5" s="434"/>
      <c r="H5" s="434"/>
      <c r="I5" s="434"/>
      <c r="J5" s="351" t="s">
        <v>30</v>
      </c>
      <c r="K5" s="397" t="s">
        <v>794</v>
      </c>
      <c r="N5" s="306">
        <f>SUM(N3:N4)</f>
        <v>9229747.5399999991</v>
      </c>
    </row>
    <row r="6" spans="2:16" ht="13.5" customHeight="1">
      <c r="B6" s="349"/>
      <c r="D6" s="176"/>
      <c r="E6" s="176"/>
      <c r="F6" s="176"/>
      <c r="G6" s="176"/>
      <c r="H6" s="176"/>
      <c r="I6" s="176"/>
      <c r="J6" s="351"/>
      <c r="K6" s="397"/>
      <c r="N6" s="352">
        <f>25-(H2-1500000)/29700000</f>
        <v>24.82</v>
      </c>
    </row>
    <row r="7" spans="2:16" ht="15" customHeight="1">
      <c r="B7" s="349"/>
      <c r="D7" s="176"/>
      <c r="E7" s="176"/>
      <c r="F7" s="176"/>
      <c r="G7" s="176"/>
      <c r="H7" s="176"/>
      <c r="I7" s="176"/>
      <c r="J7" s="430" t="s">
        <v>795</v>
      </c>
      <c r="K7" s="431"/>
      <c r="L7" s="264">
        <f>SUM(J11:J381)</f>
        <v>8850000</v>
      </c>
    </row>
    <row r="8" spans="2:16" ht="18.75" customHeight="1">
      <c r="B8" s="349"/>
      <c r="C8" s="334"/>
      <c r="D8" s="398" t="s">
        <v>10</v>
      </c>
      <c r="E8" s="334"/>
      <c r="F8" s="353"/>
      <c r="G8" s="354" t="s">
        <v>798</v>
      </c>
      <c r="H8" s="354">
        <v>6197.4</v>
      </c>
      <c r="I8" s="354"/>
      <c r="J8" s="354" t="s">
        <v>698</v>
      </c>
      <c r="K8" s="399">
        <f>SUM(J10:J381)</f>
        <v>8850000</v>
      </c>
      <c r="L8" s="355">
        <f>SUM(K11:K381)</f>
        <v>8850000</v>
      </c>
      <c r="N8" s="272">
        <f>25-(H2-1500000)/29700000</f>
        <v>24.82</v>
      </c>
      <c r="P8" s="264"/>
    </row>
    <row r="9" spans="2:16" ht="15" customHeight="1">
      <c r="B9" s="356"/>
      <c r="C9" s="335"/>
      <c r="D9" s="357"/>
      <c r="E9" s="400"/>
      <c r="F9" s="393"/>
      <c r="G9" s="394"/>
      <c r="H9" s="394"/>
      <c r="I9" s="394"/>
      <c r="J9" s="394" t="s">
        <v>91</v>
      </c>
      <c r="K9" s="401">
        <f>N8/100</f>
        <v>0.2482</v>
      </c>
      <c r="L9" s="355"/>
      <c r="M9" s="358"/>
      <c r="O9" s="264">
        <f>7500000-K8</f>
        <v>-1350000</v>
      </c>
    </row>
    <row r="10" spans="2:16" ht="25.5">
      <c r="B10" s="402" t="s">
        <v>49</v>
      </c>
      <c r="C10" s="403" t="s">
        <v>1</v>
      </c>
      <c r="D10" s="404" t="s">
        <v>13</v>
      </c>
      <c r="E10" s="404" t="s">
        <v>26</v>
      </c>
      <c r="F10" s="405" t="s">
        <v>27</v>
      </c>
      <c r="G10" s="406" t="s">
        <v>110</v>
      </c>
      <c r="H10" s="406" t="s">
        <v>441</v>
      </c>
      <c r="I10" s="407" t="s">
        <v>440</v>
      </c>
      <c r="J10" s="406" t="s">
        <v>698</v>
      </c>
      <c r="K10" s="406" t="s">
        <v>28</v>
      </c>
      <c r="L10" s="331"/>
      <c r="M10" s="303"/>
      <c r="N10" s="303"/>
    </row>
    <row r="11" spans="2:16" s="253" customFormat="1" ht="20.25" customHeight="1">
      <c r="B11" s="408"/>
      <c r="C11" s="336">
        <v>1</v>
      </c>
      <c r="D11" s="409" t="s">
        <v>2</v>
      </c>
      <c r="E11" s="410"/>
      <c r="F11" s="411"/>
      <c r="G11" s="412"/>
      <c r="H11" s="412"/>
      <c r="I11" s="412"/>
      <c r="J11" s="412"/>
      <c r="K11" s="412">
        <f>SUM(J12:J33)</f>
        <v>442819.04</v>
      </c>
      <c r="L11" s="413">
        <f>SUM(J12:J33)</f>
        <v>442819.04</v>
      </c>
      <c r="M11" s="414"/>
      <c r="N11" s="359" t="s">
        <v>521</v>
      </c>
    </row>
    <row r="12" spans="2:16" ht="25.5">
      <c r="B12" s="265">
        <v>93208</v>
      </c>
      <c r="C12" s="309" t="s">
        <v>427</v>
      </c>
      <c r="D12" s="263" t="s">
        <v>53</v>
      </c>
      <c r="E12" s="300" t="s">
        <v>8</v>
      </c>
      <c r="F12" s="310">
        <v>30</v>
      </c>
      <c r="G12" s="306">
        <v>475.84</v>
      </c>
      <c r="H12" s="306">
        <f>G12*F12</f>
        <v>14275.2</v>
      </c>
      <c r="I12" s="306">
        <f>G12*(1+$K$9)</f>
        <v>593.94000000000005</v>
      </c>
      <c r="J12" s="306">
        <f>I12*F12</f>
        <v>17818.2</v>
      </c>
      <c r="K12" s="415"/>
      <c r="L12" s="264"/>
    </row>
    <row r="13" spans="2:16" ht="25.5">
      <c r="B13" s="265" t="s">
        <v>967</v>
      </c>
      <c r="C13" s="309" t="s">
        <v>972</v>
      </c>
      <c r="D13" s="263" t="s">
        <v>986</v>
      </c>
      <c r="E13" s="300" t="s">
        <v>8</v>
      </c>
      <c r="F13" s="310">
        <v>20</v>
      </c>
      <c r="G13" s="306">
        <v>616.29999999999995</v>
      </c>
      <c r="H13" s="306">
        <f>G13*F13</f>
        <v>12326</v>
      </c>
      <c r="I13" s="306">
        <f>G13*(1+$K$9)</f>
        <v>769.27</v>
      </c>
      <c r="J13" s="306">
        <f>I13*F13</f>
        <v>15385.4</v>
      </c>
      <c r="K13" s="415"/>
      <c r="L13" s="264"/>
    </row>
    <row r="14" spans="2:16" ht="25.5">
      <c r="B14" s="265" t="s">
        <v>968</v>
      </c>
      <c r="C14" s="309" t="s">
        <v>973</v>
      </c>
      <c r="D14" s="263" t="s">
        <v>987</v>
      </c>
      <c r="E14" s="300" t="s">
        <v>8</v>
      </c>
      <c r="F14" s="310">
        <v>20</v>
      </c>
      <c r="G14" s="306">
        <v>347.81</v>
      </c>
      <c r="H14" s="306">
        <f>G14*F14</f>
        <v>6956.2</v>
      </c>
      <c r="I14" s="306">
        <f>G14*(1+$K$9)</f>
        <v>434.14</v>
      </c>
      <c r="J14" s="306">
        <f>I14*F14</f>
        <v>8682.7999999999993</v>
      </c>
      <c r="K14" s="415"/>
      <c r="L14" s="264"/>
    </row>
    <row r="15" spans="2:16" ht="27.6" customHeight="1">
      <c r="B15" s="265" t="s">
        <v>988</v>
      </c>
      <c r="C15" s="309" t="s">
        <v>974</v>
      </c>
      <c r="D15" s="263" t="s">
        <v>989</v>
      </c>
      <c r="E15" s="300" t="s">
        <v>985</v>
      </c>
      <c r="F15" s="310">
        <v>1440</v>
      </c>
      <c r="G15" s="306">
        <v>101.7</v>
      </c>
      <c r="H15" s="306"/>
      <c r="I15" s="306"/>
      <c r="J15" s="306">
        <f t="shared" ref="J15:J16" si="0">G15*F15</f>
        <v>146448</v>
      </c>
      <c r="K15" s="415"/>
      <c r="L15" s="264"/>
    </row>
    <row r="16" spans="2:16">
      <c r="B16" s="265" t="s">
        <v>970</v>
      </c>
      <c r="C16" s="309" t="s">
        <v>975</v>
      </c>
      <c r="D16" s="263" t="s">
        <v>990</v>
      </c>
      <c r="E16" s="300" t="s">
        <v>969</v>
      </c>
      <c r="F16" s="310">
        <v>16</v>
      </c>
      <c r="G16" s="306">
        <v>7262.68</v>
      </c>
      <c r="H16" s="306"/>
      <c r="I16" s="306"/>
      <c r="J16" s="306">
        <f t="shared" si="0"/>
        <v>116202.88</v>
      </c>
      <c r="K16" s="415"/>
      <c r="L16" s="264"/>
    </row>
    <row r="17" spans="2:15">
      <c r="B17" s="265" t="s">
        <v>971</v>
      </c>
      <c r="C17" s="309" t="s">
        <v>976</v>
      </c>
      <c r="D17" s="263" t="s">
        <v>991</v>
      </c>
      <c r="E17" s="300" t="s">
        <v>969</v>
      </c>
      <c r="F17" s="310">
        <v>16</v>
      </c>
      <c r="G17" s="306">
        <v>3758.88</v>
      </c>
      <c r="H17" s="306"/>
      <c r="I17" s="306"/>
      <c r="J17" s="306">
        <f t="shared" ref="J17" si="1">G17*F17</f>
        <v>60142.080000000002</v>
      </c>
      <c r="K17" s="415"/>
      <c r="L17" s="264"/>
    </row>
    <row r="18" spans="2:15">
      <c r="B18" s="265" t="s">
        <v>979</v>
      </c>
      <c r="C18" s="309" t="s">
        <v>977</v>
      </c>
      <c r="D18" s="263" t="s">
        <v>992</v>
      </c>
      <c r="E18" s="300" t="s">
        <v>978</v>
      </c>
      <c r="F18" s="310">
        <v>600</v>
      </c>
      <c r="G18" s="306">
        <f>13.47+4.46</f>
        <v>17.93</v>
      </c>
      <c r="H18" s="306">
        <f>G18*F18</f>
        <v>10758</v>
      </c>
      <c r="I18" s="306">
        <f>G18*(1+$K$9)</f>
        <v>22.38</v>
      </c>
      <c r="J18" s="306">
        <f>I18*F18</f>
        <v>13428</v>
      </c>
      <c r="K18" s="415"/>
      <c r="L18" s="264"/>
      <c r="O18" s="264"/>
    </row>
    <row r="19" spans="2:15" ht="25.5">
      <c r="B19" s="265" t="s">
        <v>51</v>
      </c>
      <c r="C19" s="302" t="s">
        <v>428</v>
      </c>
      <c r="D19" s="263" t="s">
        <v>52</v>
      </c>
      <c r="E19" s="300" t="s">
        <v>8</v>
      </c>
      <c r="F19" s="310">
        <v>12000</v>
      </c>
      <c r="G19" s="306">
        <v>0.17</v>
      </c>
      <c r="H19" s="306">
        <f t="shared" ref="H19:H76" si="2">G19*F19</f>
        <v>2040</v>
      </c>
      <c r="I19" s="306">
        <f t="shared" ref="I19:I76" si="3">G19*(1+$K$9)</f>
        <v>0.21</v>
      </c>
      <c r="J19" s="306">
        <f t="shared" ref="J19:J97" si="4">I19*F19</f>
        <v>2520</v>
      </c>
      <c r="K19" s="306"/>
      <c r="L19" s="264"/>
    </row>
    <row r="20" spans="2:15">
      <c r="B20" s="265">
        <v>89957</v>
      </c>
      <c r="C20" s="309" t="s">
        <v>429</v>
      </c>
      <c r="D20" s="332" t="s">
        <v>54</v>
      </c>
      <c r="E20" s="308" t="s">
        <v>55</v>
      </c>
      <c r="F20" s="310">
        <v>1</v>
      </c>
      <c r="G20" s="305">
        <v>300</v>
      </c>
      <c r="H20" s="306">
        <f t="shared" si="2"/>
        <v>300</v>
      </c>
      <c r="I20" s="306">
        <f t="shared" si="3"/>
        <v>374.46</v>
      </c>
      <c r="J20" s="306">
        <f t="shared" si="4"/>
        <v>374.46</v>
      </c>
      <c r="K20" s="306"/>
      <c r="L20" s="264"/>
    </row>
    <row r="21" spans="2:15" ht="38.25">
      <c r="B21" s="265">
        <v>93144</v>
      </c>
      <c r="C21" s="302" t="s">
        <v>430</v>
      </c>
      <c r="D21" s="263" t="s">
        <v>56</v>
      </c>
      <c r="E21" s="308" t="s">
        <v>55</v>
      </c>
      <c r="F21" s="310">
        <v>1</v>
      </c>
      <c r="G21" s="305">
        <v>300</v>
      </c>
      <c r="H21" s="306">
        <f t="shared" si="2"/>
        <v>300</v>
      </c>
      <c r="I21" s="306">
        <f t="shared" si="3"/>
        <v>374.46</v>
      </c>
      <c r="J21" s="306">
        <f t="shared" si="4"/>
        <v>374.46</v>
      </c>
      <c r="K21" s="306"/>
      <c r="L21" s="264"/>
    </row>
    <row r="22" spans="2:15" ht="23.25" customHeight="1">
      <c r="B22" s="265" t="s">
        <v>48</v>
      </c>
      <c r="C22" s="302" t="s">
        <v>431</v>
      </c>
      <c r="D22" s="263" t="s">
        <v>58</v>
      </c>
      <c r="E22" s="300" t="s">
        <v>8</v>
      </c>
      <c r="F22" s="304">
        <v>3</v>
      </c>
      <c r="G22" s="305">
        <v>323.77</v>
      </c>
      <c r="H22" s="306">
        <f t="shared" si="2"/>
        <v>971.31</v>
      </c>
      <c r="I22" s="306">
        <f t="shared" si="3"/>
        <v>404.13</v>
      </c>
      <c r="J22" s="306">
        <f t="shared" si="4"/>
        <v>1212.3900000000001</v>
      </c>
      <c r="K22" s="306"/>
      <c r="L22" s="264"/>
    </row>
    <row r="23" spans="2:15" ht="25.5">
      <c r="B23" s="265"/>
      <c r="C23" s="302" t="s">
        <v>432</v>
      </c>
      <c r="D23" s="263" t="s">
        <v>57</v>
      </c>
      <c r="E23" s="300"/>
      <c r="F23" s="310"/>
      <c r="G23" s="305"/>
      <c r="H23" s="306"/>
      <c r="I23" s="306"/>
      <c r="J23" s="306"/>
      <c r="K23" s="306"/>
      <c r="L23" s="264"/>
    </row>
    <row r="24" spans="2:15">
      <c r="B24" s="265">
        <v>10567</v>
      </c>
      <c r="C24" s="302" t="s">
        <v>433</v>
      </c>
      <c r="D24" s="263" t="s">
        <v>59</v>
      </c>
      <c r="E24" s="360" t="s">
        <v>3</v>
      </c>
      <c r="F24" s="310">
        <v>1000</v>
      </c>
      <c r="G24" s="306">
        <v>7.1</v>
      </c>
      <c r="H24" s="306">
        <f t="shared" si="2"/>
        <v>7100</v>
      </c>
      <c r="I24" s="306">
        <f t="shared" si="3"/>
        <v>8.86</v>
      </c>
      <c r="J24" s="306">
        <f t="shared" si="4"/>
        <v>8860</v>
      </c>
      <c r="K24" s="306"/>
      <c r="L24" s="264"/>
    </row>
    <row r="25" spans="2:15" ht="25.5">
      <c r="B25" s="265">
        <v>4496</v>
      </c>
      <c r="C25" s="302" t="s">
        <v>434</v>
      </c>
      <c r="D25" s="361" t="s">
        <v>60</v>
      </c>
      <c r="E25" s="308" t="s">
        <v>3</v>
      </c>
      <c r="F25" s="310">
        <v>600</v>
      </c>
      <c r="G25" s="306">
        <v>4</v>
      </c>
      <c r="H25" s="306">
        <f t="shared" si="2"/>
        <v>2400</v>
      </c>
      <c r="I25" s="306">
        <f t="shared" si="3"/>
        <v>4.99</v>
      </c>
      <c r="J25" s="306">
        <f t="shared" si="4"/>
        <v>2994</v>
      </c>
      <c r="K25" s="306"/>
      <c r="L25" s="264"/>
    </row>
    <row r="26" spans="2:15" ht="54" customHeight="1">
      <c r="B26" s="265">
        <v>95463</v>
      </c>
      <c r="C26" s="302" t="s">
        <v>435</v>
      </c>
      <c r="D26" s="307" t="s">
        <v>61</v>
      </c>
      <c r="E26" s="308" t="s">
        <v>55</v>
      </c>
      <c r="F26" s="304">
        <v>1</v>
      </c>
      <c r="G26" s="305">
        <v>1324.84</v>
      </c>
      <c r="H26" s="306">
        <f t="shared" si="2"/>
        <v>1324.84</v>
      </c>
      <c r="I26" s="306">
        <f t="shared" si="3"/>
        <v>1653.67</v>
      </c>
      <c r="J26" s="306">
        <f t="shared" si="4"/>
        <v>1653.67</v>
      </c>
      <c r="K26" s="306"/>
      <c r="L26" s="264"/>
    </row>
    <row r="27" spans="2:15" ht="38.25">
      <c r="B27" s="265" t="s">
        <v>62</v>
      </c>
      <c r="C27" s="302" t="s">
        <v>436</v>
      </c>
      <c r="D27" s="307" t="s">
        <v>63</v>
      </c>
      <c r="E27" s="308" t="s">
        <v>55</v>
      </c>
      <c r="F27" s="304">
        <v>2</v>
      </c>
      <c r="G27" s="306">
        <v>1197.08</v>
      </c>
      <c r="H27" s="306">
        <f t="shared" si="2"/>
        <v>2394.16</v>
      </c>
      <c r="I27" s="306">
        <f t="shared" si="3"/>
        <v>1494.2</v>
      </c>
      <c r="J27" s="306">
        <f t="shared" si="4"/>
        <v>2988.4</v>
      </c>
      <c r="K27" s="306"/>
      <c r="L27" s="264"/>
    </row>
    <row r="28" spans="2:15">
      <c r="B28" s="265"/>
      <c r="C28" s="332"/>
      <c r="D28" s="271" t="s">
        <v>65</v>
      </c>
      <c r="E28" s="308"/>
      <c r="F28" s="304"/>
      <c r="G28" s="305"/>
      <c r="H28" s="306"/>
      <c r="I28" s="306"/>
      <c r="J28" s="306"/>
      <c r="K28" s="306"/>
      <c r="L28" s="264"/>
    </row>
    <row r="29" spans="2:15" ht="25.5">
      <c r="B29" s="265">
        <v>79480</v>
      </c>
      <c r="C29" s="302" t="s">
        <v>437</v>
      </c>
      <c r="D29" s="263" t="s">
        <v>64</v>
      </c>
      <c r="E29" s="308" t="s">
        <v>9</v>
      </c>
      <c r="F29" s="362">
        <v>80</v>
      </c>
      <c r="G29" s="363">
        <v>2.8</v>
      </c>
      <c r="H29" s="306">
        <f t="shared" si="2"/>
        <v>224</v>
      </c>
      <c r="I29" s="306">
        <f t="shared" si="3"/>
        <v>3.49</v>
      </c>
      <c r="J29" s="306">
        <f t="shared" si="4"/>
        <v>279.2</v>
      </c>
      <c r="K29" s="306"/>
      <c r="L29" s="264"/>
    </row>
    <row r="30" spans="2:15" ht="51">
      <c r="B30" s="265" t="s">
        <v>66</v>
      </c>
      <c r="C30" s="302" t="s">
        <v>438</v>
      </c>
      <c r="D30" s="307" t="s">
        <v>67</v>
      </c>
      <c r="E30" s="308" t="s">
        <v>55</v>
      </c>
      <c r="F30" s="304">
        <v>10</v>
      </c>
      <c r="G30" s="305">
        <v>137.13</v>
      </c>
      <c r="H30" s="306">
        <f t="shared" si="2"/>
        <v>1371.3</v>
      </c>
      <c r="I30" s="306">
        <f t="shared" si="3"/>
        <v>171.17</v>
      </c>
      <c r="J30" s="306">
        <f t="shared" si="4"/>
        <v>1711.7</v>
      </c>
      <c r="K30" s="306"/>
      <c r="L30" s="264"/>
    </row>
    <row r="31" spans="2:15" ht="25.5">
      <c r="B31" s="265" t="s">
        <v>955</v>
      </c>
      <c r="C31" s="302" t="s">
        <v>439</v>
      </c>
      <c r="D31" s="303" t="s">
        <v>993</v>
      </c>
      <c r="E31" s="300" t="s">
        <v>3</v>
      </c>
      <c r="F31" s="304">
        <v>210</v>
      </c>
      <c r="G31" s="305">
        <v>46.26</v>
      </c>
      <c r="H31" s="306">
        <f t="shared" si="2"/>
        <v>9714.6</v>
      </c>
      <c r="I31" s="306">
        <f t="shared" si="3"/>
        <v>57.74</v>
      </c>
      <c r="J31" s="306">
        <f t="shared" si="4"/>
        <v>12125.4</v>
      </c>
      <c r="K31" s="306"/>
      <c r="L31" s="264"/>
    </row>
    <row r="32" spans="2:15" ht="38.25">
      <c r="B32" s="265" t="s">
        <v>956</v>
      </c>
      <c r="C32" s="302" t="s">
        <v>1069</v>
      </c>
      <c r="D32" s="307" t="s">
        <v>994</v>
      </c>
      <c r="E32" s="308" t="s">
        <v>9</v>
      </c>
      <c r="F32" s="304">
        <v>62.5</v>
      </c>
      <c r="G32" s="305">
        <v>8.59</v>
      </c>
      <c r="H32" s="306">
        <f t="shared" ref="H32:H33" si="5">G32*F32</f>
        <v>536.88</v>
      </c>
      <c r="I32" s="306">
        <f t="shared" ref="I32:I33" si="6">G32*(1+$K$9)</f>
        <v>10.72</v>
      </c>
      <c r="J32" s="306">
        <f t="shared" ref="J32:J33" si="7">I32*F32</f>
        <v>670</v>
      </c>
      <c r="K32" s="306"/>
      <c r="L32" s="264"/>
    </row>
    <row r="33" spans="2:14" ht="27.6" customHeight="1">
      <c r="B33" s="302" t="s">
        <v>1086</v>
      </c>
      <c r="C33" s="302" t="s">
        <v>1091</v>
      </c>
      <c r="D33" s="307" t="s">
        <v>1087</v>
      </c>
      <c r="E33" s="300" t="s">
        <v>8</v>
      </c>
      <c r="F33" s="304">
        <v>400</v>
      </c>
      <c r="G33" s="305">
        <v>57.98</v>
      </c>
      <c r="H33" s="306">
        <f t="shared" si="5"/>
        <v>23192</v>
      </c>
      <c r="I33" s="306">
        <f t="shared" si="6"/>
        <v>72.37</v>
      </c>
      <c r="J33" s="306">
        <f t="shared" si="7"/>
        <v>28948</v>
      </c>
      <c r="K33" s="306"/>
      <c r="L33" s="264"/>
    </row>
    <row r="34" spans="2:14" ht="21.75" customHeight="1">
      <c r="B34" s="265"/>
      <c r="C34" s="302">
        <v>2</v>
      </c>
      <c r="D34" s="271" t="s">
        <v>70</v>
      </c>
      <c r="E34" s="308"/>
      <c r="F34" s="304"/>
      <c r="G34" s="305"/>
      <c r="H34" s="306"/>
      <c r="I34" s="306"/>
      <c r="J34" s="306"/>
      <c r="K34" s="306">
        <f>SUM(J35:J37)</f>
        <v>49380</v>
      </c>
      <c r="L34" s="264">
        <f>SUM(J35:J37)</f>
        <v>49380</v>
      </c>
    </row>
    <row r="35" spans="2:14" ht="26.25" customHeight="1">
      <c r="B35" s="265" t="s">
        <v>71</v>
      </c>
      <c r="C35" s="302" t="s">
        <v>569</v>
      </c>
      <c r="D35" s="263" t="s">
        <v>1070</v>
      </c>
      <c r="E35" s="308" t="s">
        <v>9</v>
      </c>
      <c r="F35" s="362">
        <v>6000</v>
      </c>
      <c r="G35" s="363">
        <v>3.92</v>
      </c>
      <c r="H35" s="306">
        <f t="shared" si="2"/>
        <v>23520</v>
      </c>
      <c r="I35" s="306">
        <f t="shared" si="3"/>
        <v>4.8899999999999997</v>
      </c>
      <c r="J35" s="306">
        <f t="shared" si="4"/>
        <v>29340</v>
      </c>
      <c r="K35" s="306"/>
      <c r="L35" s="264"/>
    </row>
    <row r="36" spans="2:14" ht="26.25" customHeight="1">
      <c r="B36" s="265" t="s">
        <v>1085</v>
      </c>
      <c r="C36" s="302"/>
      <c r="D36" s="263" t="s">
        <v>1084</v>
      </c>
      <c r="E36" s="308" t="s">
        <v>8</v>
      </c>
      <c r="F36" s="362">
        <f>200*100</f>
        <v>20000</v>
      </c>
      <c r="G36" s="363">
        <v>0.22</v>
      </c>
      <c r="H36" s="306">
        <f t="shared" ref="H36" si="8">G36*F36</f>
        <v>4400</v>
      </c>
      <c r="I36" s="306">
        <f t="shared" ref="I36" si="9">G36*(1+$K$9)</f>
        <v>0.27</v>
      </c>
      <c r="J36" s="306">
        <f t="shared" ref="J36" si="10">I36*F36</f>
        <v>5400</v>
      </c>
      <c r="K36" s="306"/>
      <c r="L36" s="264"/>
    </row>
    <row r="37" spans="2:14" ht="25.5">
      <c r="B37" s="265">
        <v>41722</v>
      </c>
      <c r="C37" s="302" t="s">
        <v>570</v>
      </c>
      <c r="D37" s="267" t="s">
        <v>72</v>
      </c>
      <c r="E37" s="308" t="s">
        <v>9</v>
      </c>
      <c r="F37" s="362">
        <v>3000</v>
      </c>
      <c r="G37" s="363">
        <v>3.91</v>
      </c>
      <c r="H37" s="306">
        <f t="shared" si="2"/>
        <v>11730</v>
      </c>
      <c r="I37" s="306">
        <f t="shared" si="3"/>
        <v>4.88</v>
      </c>
      <c r="J37" s="306">
        <f t="shared" si="4"/>
        <v>14640</v>
      </c>
      <c r="K37" s="306"/>
      <c r="L37" s="264"/>
    </row>
    <row r="38" spans="2:14">
      <c r="B38" s="265"/>
      <c r="C38" s="302"/>
      <c r="D38" s="271"/>
      <c r="E38" s="300"/>
      <c r="F38" s="304"/>
      <c r="G38" s="305"/>
      <c r="H38" s="306"/>
      <c r="I38" s="306"/>
      <c r="J38" s="306"/>
      <c r="K38" s="306"/>
      <c r="L38" s="264"/>
    </row>
    <row r="39" spans="2:14" s="416" customFormat="1" ht="15" customHeight="1">
      <c r="B39" s="368" t="s">
        <v>1071</v>
      </c>
      <c r="C39" s="337">
        <v>3</v>
      </c>
      <c r="D39" s="299" t="s">
        <v>542</v>
      </c>
      <c r="E39" s="337"/>
      <c r="F39" s="417"/>
      <c r="G39" s="418"/>
      <c r="H39" s="418">
        <f t="shared" si="2"/>
        <v>0</v>
      </c>
      <c r="I39" s="418">
        <f t="shared" si="3"/>
        <v>0</v>
      </c>
      <c r="J39" s="418">
        <f t="shared" si="4"/>
        <v>0</v>
      </c>
      <c r="K39" s="418">
        <f>SUM(J39:J53)</f>
        <v>3143798.71</v>
      </c>
      <c r="L39" s="264">
        <f>SUM(J39:J53)</f>
        <v>3143798.71</v>
      </c>
      <c r="M39" s="272"/>
      <c r="N39" s="272"/>
    </row>
    <row r="40" spans="2:14" s="416" customFormat="1" ht="15" customHeight="1">
      <c r="B40" s="368"/>
      <c r="C40" s="337"/>
      <c r="D40" s="299" t="s">
        <v>781</v>
      </c>
      <c r="E40" s="337"/>
      <c r="F40" s="417"/>
      <c r="G40" s="418"/>
      <c r="H40" s="418"/>
      <c r="I40" s="418"/>
      <c r="J40" s="418"/>
      <c r="K40" s="418"/>
      <c r="L40" s="264"/>
      <c r="M40" s="272"/>
      <c r="N40" s="272"/>
    </row>
    <row r="41" spans="2:14" s="416" customFormat="1" ht="32.450000000000003" customHeight="1">
      <c r="B41" s="368" t="s">
        <v>997</v>
      </c>
      <c r="C41" s="337" t="s">
        <v>5</v>
      </c>
      <c r="D41" s="299" t="s">
        <v>998</v>
      </c>
      <c r="E41" s="308" t="s">
        <v>9</v>
      </c>
      <c r="F41" s="308">
        <v>500</v>
      </c>
      <c r="G41" s="418">
        <v>13.24</v>
      </c>
      <c r="H41" s="306">
        <f t="shared" si="2"/>
        <v>6620</v>
      </c>
      <c r="I41" s="306">
        <f t="shared" ref="I41" si="11">G41*(1+$K$9)</f>
        <v>16.53</v>
      </c>
      <c r="J41" s="306">
        <f t="shared" ref="J41" si="12">I41*F41</f>
        <v>8265</v>
      </c>
      <c r="K41" s="418"/>
      <c r="L41" s="264"/>
      <c r="M41" s="272"/>
      <c r="N41" s="272"/>
    </row>
    <row r="42" spans="2:14" s="416" customFormat="1" ht="15" customHeight="1">
      <c r="B42" s="368" t="s">
        <v>995</v>
      </c>
      <c r="C42" s="337" t="s">
        <v>543</v>
      </c>
      <c r="D42" s="299" t="s">
        <v>996</v>
      </c>
      <c r="E42" s="308" t="s">
        <v>9</v>
      </c>
      <c r="F42" s="308">
        <f>65+47</f>
        <v>112</v>
      </c>
      <c r="G42" s="418">
        <v>483.76</v>
      </c>
      <c r="H42" s="306">
        <f t="shared" ref="H42" si="13">G42*F42</f>
        <v>54181.120000000003</v>
      </c>
      <c r="I42" s="306">
        <f t="shared" ref="I42" si="14">G42*(1+$K$9)</f>
        <v>603.83000000000004</v>
      </c>
      <c r="J42" s="306">
        <f t="shared" ref="J42" si="15">I42*F42</f>
        <v>67628.960000000006</v>
      </c>
      <c r="K42" s="418"/>
      <c r="L42" s="264"/>
      <c r="M42" s="272"/>
      <c r="N42" s="272"/>
    </row>
    <row r="43" spans="2:14" s="416" customFormat="1" ht="23.45" customHeight="1">
      <c r="B43" s="368" t="s">
        <v>999</v>
      </c>
      <c r="C43" s="337" t="s">
        <v>960</v>
      </c>
      <c r="D43" s="299" t="s">
        <v>1000</v>
      </c>
      <c r="E43" s="308" t="s">
        <v>9</v>
      </c>
      <c r="F43" s="417">
        <f>65.1+46.4</f>
        <v>111.5</v>
      </c>
      <c r="G43" s="418">
        <v>273.89999999999998</v>
      </c>
      <c r="H43" s="306">
        <f t="shared" ref="H43:H44" si="16">G43*F43</f>
        <v>30539.85</v>
      </c>
      <c r="I43" s="306">
        <f t="shared" ref="I43:I44" si="17">G43*(1+$K$9)</f>
        <v>341.88</v>
      </c>
      <c r="J43" s="306">
        <f t="shared" ref="J43:J44" si="18">I43*F43</f>
        <v>38119.620000000003</v>
      </c>
      <c r="K43" s="418"/>
      <c r="L43" s="264"/>
      <c r="M43" s="272"/>
      <c r="N43" s="272"/>
    </row>
    <row r="44" spans="2:14" s="416" customFormat="1" ht="23.45" customHeight="1">
      <c r="B44" s="368" t="s">
        <v>1089</v>
      </c>
      <c r="C44" s="337" t="s">
        <v>1072</v>
      </c>
      <c r="D44" s="299" t="s">
        <v>1088</v>
      </c>
      <c r="E44" s="308" t="s">
        <v>9</v>
      </c>
      <c r="F44" s="308">
        <v>500</v>
      </c>
      <c r="G44" s="418">
        <v>13.24</v>
      </c>
      <c r="H44" s="306">
        <f t="shared" si="16"/>
        <v>6620</v>
      </c>
      <c r="I44" s="306">
        <f t="shared" si="17"/>
        <v>16.53</v>
      </c>
      <c r="J44" s="306">
        <f t="shared" si="18"/>
        <v>8265</v>
      </c>
      <c r="K44" s="418"/>
      <c r="L44" s="264"/>
      <c r="M44" s="272"/>
      <c r="N44" s="272"/>
    </row>
    <row r="45" spans="2:14" s="416" customFormat="1" ht="23.45" customHeight="1">
      <c r="B45" s="368"/>
      <c r="C45" s="337"/>
      <c r="D45" s="299"/>
      <c r="E45" s="308"/>
      <c r="F45" s="308"/>
      <c r="G45" s="418"/>
      <c r="H45" s="306"/>
      <c r="I45" s="306"/>
      <c r="J45" s="306"/>
      <c r="K45" s="418"/>
      <c r="L45" s="264"/>
      <c r="M45" s="272"/>
      <c r="N45" s="272"/>
    </row>
    <row r="46" spans="2:14" s="416" customFormat="1" ht="15" customHeight="1">
      <c r="B46" s="368"/>
      <c r="C46" s="337"/>
      <c r="D46" s="299" t="s">
        <v>782</v>
      </c>
      <c r="E46" s="337"/>
      <c r="F46" s="417"/>
      <c r="G46" s="418"/>
      <c r="H46" s="418"/>
      <c r="I46" s="418"/>
      <c r="J46" s="418"/>
      <c r="K46" s="418"/>
      <c r="L46" s="264"/>
      <c r="M46" s="272"/>
      <c r="N46" s="272"/>
    </row>
    <row r="47" spans="2:14" s="416" customFormat="1" ht="30" customHeight="1">
      <c r="B47" s="368"/>
      <c r="C47" s="337"/>
      <c r="D47" s="299" t="s">
        <v>783</v>
      </c>
      <c r="E47" s="337"/>
      <c r="F47" s="417"/>
      <c r="G47" s="418"/>
      <c r="H47" s="418"/>
      <c r="I47" s="418"/>
      <c r="J47" s="418"/>
      <c r="K47" s="418"/>
      <c r="L47" s="264"/>
      <c r="M47" s="272"/>
      <c r="N47" s="272"/>
    </row>
    <row r="48" spans="2:14" s="416" customFormat="1" ht="36" customHeight="1">
      <c r="B48" s="368"/>
      <c r="C48" s="337"/>
      <c r="D48" s="299" t="s">
        <v>784</v>
      </c>
      <c r="E48" s="337"/>
      <c r="F48" s="417"/>
      <c r="G48" s="418"/>
      <c r="H48" s="418"/>
      <c r="I48" s="418"/>
      <c r="J48" s="418"/>
      <c r="K48" s="418"/>
      <c r="L48" s="264"/>
      <c r="M48" s="272"/>
      <c r="N48" s="272"/>
    </row>
    <row r="49" spans="2:14" ht="42.75" customHeight="1">
      <c r="B49" s="265" t="s">
        <v>533</v>
      </c>
      <c r="C49" s="337" t="s">
        <v>1073</v>
      </c>
      <c r="D49" s="271" t="s">
        <v>930</v>
      </c>
      <c r="E49" s="300" t="s">
        <v>8</v>
      </c>
      <c r="F49" s="310">
        <v>6585</v>
      </c>
      <c r="G49" s="306">
        <v>330</v>
      </c>
      <c r="H49" s="306">
        <f t="shared" si="2"/>
        <v>2173050</v>
      </c>
      <c r="I49" s="306">
        <f t="shared" si="3"/>
        <v>411.91</v>
      </c>
      <c r="J49" s="306">
        <f t="shared" si="4"/>
        <v>2712427.35</v>
      </c>
      <c r="K49" s="306"/>
      <c r="L49" s="264"/>
    </row>
    <row r="50" spans="2:14" ht="48" customHeight="1">
      <c r="B50" s="265" t="s">
        <v>1071</v>
      </c>
      <c r="C50" s="337" t="s">
        <v>1074</v>
      </c>
      <c r="D50" s="273" t="s">
        <v>541</v>
      </c>
      <c r="E50" s="300" t="s">
        <v>8</v>
      </c>
      <c r="F50" s="310">
        <v>2463.5</v>
      </c>
      <c r="G50" s="306">
        <v>30</v>
      </c>
      <c r="H50" s="306">
        <f t="shared" ref="H50" si="19">G50*F50</f>
        <v>73905</v>
      </c>
      <c r="I50" s="306">
        <f t="shared" ref="I50" si="20">G50*(1+$K$9)</f>
        <v>37.450000000000003</v>
      </c>
      <c r="J50" s="306">
        <f t="shared" ref="J50" si="21">I50*F50</f>
        <v>92258.08</v>
      </c>
      <c r="K50" s="306"/>
      <c r="L50" s="264"/>
    </row>
    <row r="51" spans="2:14" ht="66" customHeight="1">
      <c r="B51" s="265" t="s">
        <v>959</v>
      </c>
      <c r="C51" s="337" t="s">
        <v>1075</v>
      </c>
      <c r="D51" s="273" t="s">
        <v>958</v>
      </c>
      <c r="E51" s="300" t="s">
        <v>8</v>
      </c>
      <c r="F51" s="310">
        <v>2128</v>
      </c>
      <c r="G51" s="306">
        <v>30</v>
      </c>
      <c r="H51" s="306">
        <f t="shared" ref="H51" si="22">G51*F51</f>
        <v>63840</v>
      </c>
      <c r="I51" s="306">
        <f t="shared" ref="I51" si="23">G51*(1+$K$9)</f>
        <v>37.450000000000003</v>
      </c>
      <c r="J51" s="306">
        <f t="shared" ref="J51" si="24">I51*F51</f>
        <v>79693.600000000006</v>
      </c>
      <c r="K51" s="306"/>
      <c r="L51" s="264"/>
    </row>
    <row r="52" spans="2:14" ht="27.75" customHeight="1">
      <c r="B52" s="265" t="s">
        <v>966</v>
      </c>
      <c r="C52" s="337" t="s">
        <v>1076</v>
      </c>
      <c r="D52" s="273" t="s">
        <v>965</v>
      </c>
      <c r="E52" s="300" t="s">
        <v>3</v>
      </c>
      <c r="F52" s="310">
        <v>15</v>
      </c>
      <c r="G52" s="306">
        <v>37.03</v>
      </c>
      <c r="H52" s="306">
        <f t="shared" ref="H52" si="25">G52*F52</f>
        <v>555.45000000000005</v>
      </c>
      <c r="I52" s="306">
        <f t="shared" ref="I52" si="26">G52*(1+$K$9)</f>
        <v>46.22</v>
      </c>
      <c r="J52" s="306">
        <f t="shared" ref="J52" si="27">I52*F52</f>
        <v>693.3</v>
      </c>
      <c r="K52" s="306"/>
      <c r="L52" s="264"/>
    </row>
    <row r="53" spans="2:14" ht="43.5" customHeight="1">
      <c r="B53" s="265" t="s">
        <v>964</v>
      </c>
      <c r="C53" s="337" t="s">
        <v>1090</v>
      </c>
      <c r="D53" s="273" t="s">
        <v>963</v>
      </c>
      <c r="E53" s="300" t="s">
        <v>3</v>
      </c>
      <c r="F53" s="310">
        <v>2130</v>
      </c>
      <c r="G53" s="306">
        <f>25.66*2</f>
        <v>51.32</v>
      </c>
      <c r="H53" s="306">
        <f t="shared" ref="H53" si="28">G53*F53</f>
        <v>109311.6</v>
      </c>
      <c r="I53" s="306">
        <f t="shared" ref="I53" si="29">G53*(1+$K$9)</f>
        <v>64.06</v>
      </c>
      <c r="J53" s="306">
        <f t="shared" ref="J53" si="30">I53*F53</f>
        <v>136447.79999999999</v>
      </c>
      <c r="K53" s="306"/>
      <c r="L53" s="264"/>
    </row>
    <row r="54" spans="2:14" s="253" customFormat="1" ht="17.25" customHeight="1">
      <c r="B54" s="419"/>
      <c r="E54" s="308"/>
      <c r="F54" s="420"/>
      <c r="G54" s="421"/>
      <c r="H54" s="415"/>
      <c r="I54" s="415"/>
      <c r="J54" s="415"/>
      <c r="K54" s="415"/>
      <c r="L54" s="264"/>
      <c r="M54" s="272"/>
      <c r="N54" s="272" t="s">
        <v>961</v>
      </c>
    </row>
    <row r="55" spans="2:14" ht="27.75" customHeight="1">
      <c r="B55" s="252"/>
      <c r="C55" s="308">
        <v>4</v>
      </c>
      <c r="D55" s="422" t="s">
        <v>108</v>
      </c>
      <c r="K55" s="306">
        <f>SUM(J56:J61)</f>
        <v>332824</v>
      </c>
      <c r="L55" s="264">
        <f>SUM(J56:J61)</f>
        <v>332824</v>
      </c>
      <c r="N55" s="272" t="s">
        <v>962</v>
      </c>
    </row>
    <row r="56" spans="2:14" ht="27.75" customHeight="1">
      <c r="B56" s="306" t="s">
        <v>707</v>
      </c>
      <c r="C56" s="338" t="s">
        <v>557</v>
      </c>
      <c r="D56" s="266" t="s">
        <v>708</v>
      </c>
      <c r="E56" s="332" t="s">
        <v>9</v>
      </c>
      <c r="F56" s="304">
        <v>1860</v>
      </c>
      <c r="G56" s="364">
        <v>4.8499999999999996</v>
      </c>
      <c r="H56" s="306">
        <f t="shared" ref="H56" si="31">G56*F56</f>
        <v>9021</v>
      </c>
      <c r="I56" s="306">
        <f t="shared" ref="I56" si="32">G56*(1+$K$9)</f>
        <v>6.05</v>
      </c>
      <c r="J56" s="306">
        <f t="shared" ref="J56" si="33">I56*F56</f>
        <v>11253</v>
      </c>
      <c r="K56" s="252"/>
      <c r="L56" s="264"/>
    </row>
    <row r="57" spans="2:14" ht="27.75" customHeight="1">
      <c r="B57" s="265" t="s">
        <v>709</v>
      </c>
      <c r="C57" s="338" t="s">
        <v>558</v>
      </c>
      <c r="D57" s="266" t="s">
        <v>1063</v>
      </c>
      <c r="E57" s="332" t="s">
        <v>9</v>
      </c>
      <c r="F57" s="304">
        <f>F56</f>
        <v>1860</v>
      </c>
      <c r="G57" s="364">
        <v>2.1</v>
      </c>
      <c r="H57" s="306">
        <f t="shared" ref="H57" si="34">G57*F57</f>
        <v>3906</v>
      </c>
      <c r="I57" s="306">
        <f t="shared" ref="I57" si="35">G57*(1+$K$9)</f>
        <v>2.62</v>
      </c>
      <c r="J57" s="306">
        <f t="shared" ref="J57" si="36">I57*F57</f>
        <v>4873.2</v>
      </c>
      <c r="K57" s="306"/>
      <c r="L57" s="264"/>
    </row>
    <row r="58" spans="2:14" ht="27.75" customHeight="1">
      <c r="B58" s="265" t="s">
        <v>710</v>
      </c>
      <c r="C58" s="338" t="s">
        <v>559</v>
      </c>
      <c r="D58" s="266" t="s">
        <v>711</v>
      </c>
      <c r="E58" s="332" t="s">
        <v>9</v>
      </c>
      <c r="F58" s="304">
        <f>F57</f>
        <v>1860</v>
      </c>
      <c r="G58" s="364">
        <v>4.79</v>
      </c>
      <c r="H58" s="306">
        <f t="shared" ref="H58" si="37">G58*F58</f>
        <v>8909.4</v>
      </c>
      <c r="I58" s="306">
        <f t="shared" ref="I58" si="38">G58*(1+$K$9)</f>
        <v>5.98</v>
      </c>
      <c r="J58" s="306">
        <f t="shared" ref="J58" si="39">I58*F58</f>
        <v>11122.8</v>
      </c>
      <c r="K58" s="306"/>
      <c r="L58" s="264"/>
    </row>
    <row r="59" spans="2:14" ht="27.75" customHeight="1">
      <c r="B59" s="265" t="s">
        <v>714</v>
      </c>
      <c r="C59" s="338"/>
      <c r="D59" s="263" t="s">
        <v>471</v>
      </c>
      <c r="E59" s="332" t="s">
        <v>4</v>
      </c>
      <c r="F59" s="304">
        <v>4960</v>
      </c>
      <c r="G59" s="364">
        <v>5.61</v>
      </c>
      <c r="H59" s="306">
        <f t="shared" ref="H59:H60" si="40">G59*F59</f>
        <v>27825.599999999999</v>
      </c>
      <c r="I59" s="306">
        <f t="shared" ref="I59:I60" si="41">G59*(1+$K$9)</f>
        <v>7</v>
      </c>
      <c r="J59" s="306">
        <f t="shared" ref="J59:J60" si="42">I59*F59</f>
        <v>34720</v>
      </c>
      <c r="K59" s="306"/>
      <c r="L59" s="264"/>
    </row>
    <row r="60" spans="2:14" ht="27.75" customHeight="1">
      <c r="B60" s="265" t="s">
        <v>706</v>
      </c>
      <c r="C60" s="338" t="s">
        <v>712</v>
      </c>
      <c r="D60" s="263" t="s">
        <v>713</v>
      </c>
      <c r="E60" s="332" t="s">
        <v>8</v>
      </c>
      <c r="F60" s="304">
        <v>4500</v>
      </c>
      <c r="G60" s="306">
        <v>23.58</v>
      </c>
      <c r="H60" s="306">
        <f t="shared" si="40"/>
        <v>106110</v>
      </c>
      <c r="I60" s="306">
        <f t="shared" si="41"/>
        <v>29.43</v>
      </c>
      <c r="J60" s="306">
        <f t="shared" si="42"/>
        <v>132435</v>
      </c>
      <c r="K60" s="306"/>
      <c r="L60" s="264"/>
    </row>
    <row r="61" spans="2:14" ht="29.45" customHeight="1">
      <c r="B61" s="265" t="s">
        <v>1062</v>
      </c>
      <c r="C61" s="338" t="s">
        <v>712</v>
      </c>
      <c r="D61" s="263" t="s">
        <v>1064</v>
      </c>
      <c r="E61" s="332" t="s">
        <v>8</v>
      </c>
      <c r="F61" s="304">
        <v>4500</v>
      </c>
      <c r="G61" s="306">
        <v>24.64</v>
      </c>
      <c r="H61" s="306">
        <f t="shared" ref="H61" si="43">G61*F61</f>
        <v>110880</v>
      </c>
      <c r="I61" s="306">
        <f t="shared" ref="I61" si="44">G61*(1+$K$9)</f>
        <v>30.76</v>
      </c>
      <c r="J61" s="306">
        <f t="shared" ref="J61" si="45">I61*F61</f>
        <v>138420</v>
      </c>
      <c r="K61" s="306"/>
      <c r="L61" s="264"/>
    </row>
    <row r="62" spans="2:14" ht="29.45" customHeight="1">
      <c r="B62" s="265"/>
      <c r="C62" s="338"/>
      <c r="D62" s="263"/>
      <c r="E62" s="332"/>
      <c r="F62" s="304"/>
      <c r="G62" s="306"/>
      <c r="H62" s="306"/>
      <c r="I62" s="306"/>
      <c r="J62" s="306"/>
      <c r="K62" s="306"/>
      <c r="L62" s="264"/>
    </row>
    <row r="63" spans="2:14" ht="15" customHeight="1">
      <c r="B63" s="265"/>
      <c r="C63" s="302">
        <v>5</v>
      </c>
      <c r="D63" s="267" t="s">
        <v>544</v>
      </c>
      <c r="E63" s="308"/>
      <c r="F63" s="304"/>
      <c r="G63" s="306"/>
      <c r="H63" s="306"/>
      <c r="I63" s="306"/>
      <c r="J63" s="306"/>
      <c r="K63" s="306">
        <f>SUM(J64:J78)</f>
        <v>75330.23</v>
      </c>
      <c r="L63" s="264">
        <f>SUM(J64:J78)</f>
        <v>75330.23</v>
      </c>
    </row>
    <row r="64" spans="2:14" ht="15" customHeight="1">
      <c r="B64" s="265"/>
      <c r="C64" s="302"/>
      <c r="D64" s="222" t="s">
        <v>451</v>
      </c>
      <c r="E64" s="300"/>
      <c r="F64" s="304"/>
      <c r="G64" s="306"/>
      <c r="H64" s="306"/>
      <c r="I64" s="306"/>
      <c r="J64" s="306"/>
      <c r="K64" s="306"/>
      <c r="L64" s="264"/>
    </row>
    <row r="65" spans="2:15" ht="15" customHeight="1">
      <c r="B65" s="265"/>
      <c r="C65" s="302"/>
      <c r="D65" s="223" t="s">
        <v>83</v>
      </c>
      <c r="E65" s="300"/>
      <c r="F65" s="304"/>
      <c r="G65" s="306"/>
      <c r="H65" s="306"/>
      <c r="I65" s="306"/>
      <c r="J65" s="306"/>
      <c r="K65" s="306"/>
      <c r="L65" s="264"/>
    </row>
    <row r="66" spans="2:15">
      <c r="B66" s="265">
        <v>79475</v>
      </c>
      <c r="C66" s="332" t="s">
        <v>442</v>
      </c>
      <c r="D66" s="267" t="s">
        <v>1065</v>
      </c>
      <c r="E66" s="308" t="s">
        <v>9</v>
      </c>
      <c r="F66" s="304">
        <v>15.6</v>
      </c>
      <c r="G66" s="305">
        <v>64.19</v>
      </c>
      <c r="H66" s="306">
        <f t="shared" si="2"/>
        <v>1001.36</v>
      </c>
      <c r="I66" s="306">
        <f t="shared" si="3"/>
        <v>80.12</v>
      </c>
      <c r="J66" s="306">
        <f t="shared" si="4"/>
        <v>1249.8699999999999</v>
      </c>
      <c r="K66" s="306"/>
      <c r="L66" s="264"/>
    </row>
    <row r="67" spans="2:15" ht="25.5">
      <c r="B67" s="265">
        <v>92792</v>
      </c>
      <c r="C67" s="332" t="s">
        <v>547</v>
      </c>
      <c r="D67" s="271" t="s">
        <v>1066</v>
      </c>
      <c r="E67" s="300" t="s">
        <v>4</v>
      </c>
      <c r="F67" s="304">
        <v>39</v>
      </c>
      <c r="G67" s="305">
        <v>7.06</v>
      </c>
      <c r="H67" s="306">
        <f t="shared" si="2"/>
        <v>275.33999999999997</v>
      </c>
      <c r="I67" s="306">
        <f t="shared" si="3"/>
        <v>8.81</v>
      </c>
      <c r="J67" s="306">
        <f t="shared" si="4"/>
        <v>343.59</v>
      </c>
      <c r="K67" s="306"/>
      <c r="L67" s="264"/>
    </row>
    <row r="68" spans="2:15" ht="25.5">
      <c r="B68" s="265">
        <v>94970</v>
      </c>
      <c r="C68" s="332" t="s">
        <v>548</v>
      </c>
      <c r="D68" s="263" t="s">
        <v>86</v>
      </c>
      <c r="E68" s="308" t="s">
        <v>9</v>
      </c>
      <c r="F68" s="304">
        <v>5.2</v>
      </c>
      <c r="G68" s="305">
        <v>286.5</v>
      </c>
      <c r="H68" s="306">
        <f t="shared" si="2"/>
        <v>1489.8</v>
      </c>
      <c r="I68" s="306">
        <f t="shared" si="3"/>
        <v>357.61</v>
      </c>
      <c r="J68" s="306">
        <f t="shared" si="4"/>
        <v>1859.57</v>
      </c>
      <c r="K68" s="306"/>
      <c r="L68" s="264"/>
    </row>
    <row r="69" spans="2:15">
      <c r="B69" s="265" t="s">
        <v>85</v>
      </c>
      <c r="C69" s="332" t="s">
        <v>560</v>
      </c>
      <c r="D69" s="271" t="s">
        <v>715</v>
      </c>
      <c r="E69" s="308" t="s">
        <v>9</v>
      </c>
      <c r="F69" s="304">
        <f>F68</f>
        <v>5.2</v>
      </c>
      <c r="G69" s="305">
        <v>107.78</v>
      </c>
      <c r="H69" s="306">
        <f t="shared" si="2"/>
        <v>560.46</v>
      </c>
      <c r="I69" s="306">
        <f t="shared" si="3"/>
        <v>134.53</v>
      </c>
      <c r="J69" s="306">
        <f t="shared" si="4"/>
        <v>699.56</v>
      </c>
      <c r="K69" s="306"/>
      <c r="L69" s="264"/>
    </row>
    <row r="70" spans="2:15" ht="51">
      <c r="B70" s="265">
        <v>92431</v>
      </c>
      <c r="C70" s="332" t="s">
        <v>561</v>
      </c>
      <c r="D70" s="263" t="s">
        <v>87</v>
      </c>
      <c r="E70" s="300" t="s">
        <v>8</v>
      </c>
      <c r="F70" s="304">
        <f>288/4</f>
        <v>72</v>
      </c>
      <c r="G70" s="363">
        <v>34.15</v>
      </c>
      <c r="H70" s="306">
        <f t="shared" si="2"/>
        <v>2458.8000000000002</v>
      </c>
      <c r="I70" s="306">
        <f t="shared" si="3"/>
        <v>42.63</v>
      </c>
      <c r="J70" s="306">
        <f t="shared" si="4"/>
        <v>3069.36</v>
      </c>
      <c r="K70" s="306"/>
      <c r="L70" s="264"/>
    </row>
    <row r="71" spans="2:15" ht="38.25">
      <c r="B71" s="265">
        <v>92778</v>
      </c>
      <c r="C71" s="332" t="s">
        <v>562</v>
      </c>
      <c r="D71" s="263" t="s">
        <v>88</v>
      </c>
      <c r="E71" s="300" t="s">
        <v>4</v>
      </c>
      <c r="F71" s="304">
        <f>155+38+165+303+351+155+250+1200</f>
        <v>2617</v>
      </c>
      <c r="G71" s="363">
        <v>8.16</v>
      </c>
      <c r="H71" s="306">
        <f t="shared" si="2"/>
        <v>21354.720000000001</v>
      </c>
      <c r="I71" s="306">
        <f t="shared" si="3"/>
        <v>10.19</v>
      </c>
      <c r="J71" s="306">
        <f t="shared" si="4"/>
        <v>26667.23</v>
      </c>
      <c r="K71" s="306"/>
      <c r="L71" s="264"/>
    </row>
    <row r="72" spans="2:15" ht="38.25">
      <c r="B72" s="265" t="s">
        <v>89</v>
      </c>
      <c r="C72" s="332" t="s">
        <v>571</v>
      </c>
      <c r="D72" s="263" t="s">
        <v>716</v>
      </c>
      <c r="E72" s="300" t="s">
        <v>8</v>
      </c>
      <c r="F72" s="304">
        <v>77.5</v>
      </c>
      <c r="G72" s="363">
        <v>75</v>
      </c>
      <c r="H72" s="306">
        <f t="shared" si="2"/>
        <v>5812.5</v>
      </c>
      <c r="I72" s="306">
        <f t="shared" si="3"/>
        <v>93.62</v>
      </c>
      <c r="J72" s="306">
        <f t="shared" si="4"/>
        <v>7255.55</v>
      </c>
      <c r="K72" s="306"/>
      <c r="L72" s="264"/>
    </row>
    <row r="73" spans="2:15" ht="25.5">
      <c r="B73" s="265">
        <v>94971</v>
      </c>
      <c r="C73" s="332" t="s">
        <v>572</v>
      </c>
      <c r="D73" s="263" t="s">
        <v>717</v>
      </c>
      <c r="E73" s="308" t="s">
        <v>9</v>
      </c>
      <c r="F73" s="304">
        <v>5.2</v>
      </c>
      <c r="G73" s="305">
        <v>306.69</v>
      </c>
      <c r="H73" s="306">
        <f t="shared" si="2"/>
        <v>1594.79</v>
      </c>
      <c r="I73" s="306">
        <f t="shared" si="3"/>
        <v>382.81</v>
      </c>
      <c r="J73" s="306">
        <f t="shared" si="4"/>
        <v>1990.61</v>
      </c>
      <c r="K73" s="306"/>
      <c r="L73" s="264"/>
    </row>
    <row r="74" spans="2:15">
      <c r="B74" s="265" t="s">
        <v>85</v>
      </c>
      <c r="C74" s="332" t="s">
        <v>573</v>
      </c>
      <c r="D74" s="271" t="s">
        <v>718</v>
      </c>
      <c r="E74" s="308" t="s">
        <v>9</v>
      </c>
      <c r="F74" s="304">
        <f>F73</f>
        <v>5.2</v>
      </c>
      <c r="G74" s="305">
        <v>107.78</v>
      </c>
      <c r="H74" s="306">
        <f t="shared" si="2"/>
        <v>560.46</v>
      </c>
      <c r="I74" s="306">
        <f t="shared" si="3"/>
        <v>134.53</v>
      </c>
      <c r="J74" s="306">
        <f t="shared" si="4"/>
        <v>699.56</v>
      </c>
      <c r="K74" s="306"/>
      <c r="L74" s="264"/>
    </row>
    <row r="75" spans="2:15" ht="63.75">
      <c r="B75" s="265">
        <v>89977</v>
      </c>
      <c r="C75" s="332" t="s">
        <v>574</v>
      </c>
      <c r="D75" s="307" t="s">
        <v>81</v>
      </c>
      <c r="E75" s="300" t="s">
        <v>8</v>
      </c>
      <c r="F75" s="304">
        <v>155</v>
      </c>
      <c r="G75" s="364">
        <v>110.82</v>
      </c>
      <c r="H75" s="306">
        <f t="shared" si="2"/>
        <v>17177.099999999999</v>
      </c>
      <c r="I75" s="306">
        <f t="shared" si="3"/>
        <v>138.33000000000001</v>
      </c>
      <c r="J75" s="306">
        <f t="shared" si="4"/>
        <v>21441.15</v>
      </c>
      <c r="K75" s="306"/>
      <c r="L75" s="264"/>
    </row>
    <row r="76" spans="2:15" ht="51">
      <c r="B76" s="365" t="s">
        <v>29</v>
      </c>
      <c r="C76" s="332" t="s">
        <v>575</v>
      </c>
      <c r="D76" s="267" t="s">
        <v>90</v>
      </c>
      <c r="E76" s="300" t="s">
        <v>8</v>
      </c>
      <c r="F76" s="304">
        <f>F72</f>
        <v>77.5</v>
      </c>
      <c r="G76" s="305">
        <v>60.06</v>
      </c>
      <c r="H76" s="306">
        <f t="shared" si="2"/>
        <v>4654.6499999999996</v>
      </c>
      <c r="I76" s="306">
        <f t="shared" si="3"/>
        <v>74.97</v>
      </c>
      <c r="J76" s="306">
        <f t="shared" si="4"/>
        <v>5810.18</v>
      </c>
      <c r="K76" s="306"/>
      <c r="L76" s="264"/>
    </row>
    <row r="77" spans="2:15">
      <c r="B77" s="365"/>
      <c r="C77" s="332" t="s">
        <v>576</v>
      </c>
      <c r="D77" s="267" t="s">
        <v>450</v>
      </c>
      <c r="E77" s="300"/>
      <c r="F77" s="304"/>
      <c r="G77" s="305"/>
      <c r="H77" s="306"/>
      <c r="I77" s="306"/>
      <c r="J77" s="306"/>
      <c r="K77" s="306"/>
      <c r="L77" s="264"/>
    </row>
    <row r="78" spans="2:15" ht="25.5">
      <c r="B78" s="366">
        <v>83731</v>
      </c>
      <c r="C78" s="332" t="s">
        <v>577</v>
      </c>
      <c r="D78" s="266" t="s">
        <v>452</v>
      </c>
      <c r="E78" s="300" t="s">
        <v>8</v>
      </c>
      <c r="F78" s="304">
        <v>80</v>
      </c>
      <c r="G78" s="305">
        <v>42.5</v>
      </c>
      <c r="H78" s="306">
        <f t="shared" ref="H78" si="46">G78*F78</f>
        <v>3400</v>
      </c>
      <c r="I78" s="306">
        <f t="shared" ref="I78" si="47">G78*(1+$K$9)</f>
        <v>53.05</v>
      </c>
      <c r="J78" s="306">
        <f t="shared" ref="J78" si="48">I78*F78</f>
        <v>4244</v>
      </c>
      <c r="K78" s="306"/>
      <c r="L78" s="264"/>
    </row>
    <row r="79" spans="2:15">
      <c r="B79" s="366"/>
      <c r="C79" s="332"/>
      <c r="D79" s="266"/>
      <c r="E79" s="300"/>
      <c r="F79" s="304"/>
      <c r="G79" s="305"/>
      <c r="H79" s="306"/>
      <c r="I79" s="306"/>
      <c r="J79" s="306"/>
      <c r="K79" s="306"/>
      <c r="L79" s="264"/>
    </row>
    <row r="80" spans="2:15">
      <c r="B80" s="265"/>
      <c r="C80" s="332">
        <v>6</v>
      </c>
      <c r="D80" s="267" t="s">
        <v>565</v>
      </c>
      <c r="E80" s="308"/>
      <c r="F80" s="304"/>
      <c r="G80" s="364"/>
      <c r="H80" s="306"/>
      <c r="I80" s="306"/>
      <c r="J80" s="306"/>
      <c r="K80" s="306">
        <f>SUM(J81:J90)</f>
        <v>901103.61</v>
      </c>
      <c r="L80" s="264">
        <f>SUM(J80:J90)</f>
        <v>901103.61</v>
      </c>
      <c r="O80" s="264">
        <f>7500000-K8</f>
        <v>-1350000</v>
      </c>
    </row>
    <row r="81" spans="2:19" ht="51">
      <c r="B81" s="265" t="s">
        <v>719</v>
      </c>
      <c r="C81" s="332" t="s">
        <v>443</v>
      </c>
      <c r="D81" s="266" t="s">
        <v>1067</v>
      </c>
      <c r="E81" s="300" t="s">
        <v>8</v>
      </c>
      <c r="F81" s="304">
        <v>3370</v>
      </c>
      <c r="G81" s="364">
        <v>110.82</v>
      </c>
      <c r="H81" s="306">
        <f t="shared" ref="H81" si="49">G81*F81</f>
        <v>373463.4</v>
      </c>
      <c r="I81" s="306">
        <f t="shared" ref="I81" si="50">G81*(1+$K$9)</f>
        <v>138.33000000000001</v>
      </c>
      <c r="J81" s="306">
        <f>I81*F81</f>
        <v>466172.1</v>
      </c>
      <c r="K81" s="306"/>
      <c r="L81" s="264"/>
      <c r="N81" s="272">
        <f>2980+600</f>
        <v>3580</v>
      </c>
    </row>
    <row r="82" spans="2:19" ht="63.75">
      <c r="B82" s="265" t="s">
        <v>719</v>
      </c>
      <c r="C82" s="332" t="s">
        <v>444</v>
      </c>
      <c r="D82" s="307" t="s">
        <v>1068</v>
      </c>
      <c r="E82" s="300" t="s">
        <v>8</v>
      </c>
      <c r="F82" s="304">
        <v>1460</v>
      </c>
      <c r="G82" s="364">
        <v>62.54</v>
      </c>
      <c r="H82" s="306">
        <f t="shared" ref="H82" si="51">G82*F82</f>
        <v>91308.4</v>
      </c>
      <c r="I82" s="306">
        <f t="shared" ref="I82" si="52">G82*(1+$K$9)</f>
        <v>78.06</v>
      </c>
      <c r="J82" s="306">
        <f t="shared" ref="J82" si="53">I82*F82</f>
        <v>113967.6</v>
      </c>
      <c r="K82" s="306"/>
      <c r="L82" s="264"/>
    </row>
    <row r="83" spans="2:19">
      <c r="K83" s="306"/>
      <c r="L83" s="264"/>
    </row>
    <row r="84" spans="2:19">
      <c r="B84" s="367"/>
      <c r="C84" s="332"/>
      <c r="K84" s="306"/>
      <c r="L84" s="264"/>
    </row>
    <row r="85" spans="2:19">
      <c r="B85" s="368"/>
      <c r="C85" s="332"/>
      <c r="D85" s="307" t="s">
        <v>545</v>
      </c>
      <c r="E85" s="300" t="s">
        <v>8</v>
      </c>
      <c r="F85" s="300">
        <v>1120</v>
      </c>
      <c r="G85" s="364">
        <v>62.54</v>
      </c>
      <c r="H85" s="306">
        <f t="shared" ref="H85" si="54">G85*F85</f>
        <v>70044.800000000003</v>
      </c>
      <c r="I85" s="306">
        <f t="shared" ref="I85" si="55">G85*(1+$K$9)</f>
        <v>78.06</v>
      </c>
      <c r="J85" s="306">
        <f t="shared" ref="J85" si="56">I85*F85</f>
        <v>87427.199999999997</v>
      </c>
      <c r="K85" s="306"/>
      <c r="L85" s="264"/>
    </row>
    <row r="86" spans="2:19">
      <c r="B86" s="368" t="s">
        <v>785</v>
      </c>
      <c r="C86" s="332" t="s">
        <v>445</v>
      </c>
      <c r="D86" s="307" t="s">
        <v>546</v>
      </c>
      <c r="E86" s="300" t="s">
        <v>8</v>
      </c>
      <c r="F86" s="300">
        <v>241</v>
      </c>
      <c r="G86" s="364">
        <v>120</v>
      </c>
      <c r="H86" s="306">
        <f t="shared" ref="H86" si="57">G86*F86</f>
        <v>28920</v>
      </c>
      <c r="I86" s="306">
        <f t="shared" ref="I86" si="58">G86*(1+$K$9)</f>
        <v>149.78</v>
      </c>
      <c r="J86" s="306">
        <f t="shared" ref="J86" si="59">I86*F86</f>
        <v>36096.980000000003</v>
      </c>
      <c r="K86" s="306"/>
      <c r="L86" s="264"/>
    </row>
    <row r="87" spans="2:19">
      <c r="B87" s="368" t="s">
        <v>785</v>
      </c>
      <c r="C87" s="332" t="s">
        <v>446</v>
      </c>
      <c r="D87" s="307" t="s">
        <v>555</v>
      </c>
      <c r="E87" s="300" t="s">
        <v>6</v>
      </c>
      <c r="F87" s="304">
        <v>15</v>
      </c>
      <c r="G87" s="332">
        <v>423.35</v>
      </c>
      <c r="H87" s="306">
        <f t="shared" ref="H87:H88" si="60">G87*F87</f>
        <v>6350.25</v>
      </c>
      <c r="I87" s="306">
        <f t="shared" ref="I87:I88" si="61">G87*(1+$K$9)</f>
        <v>528.42999999999995</v>
      </c>
      <c r="J87" s="306">
        <f t="shared" ref="J87:J88" si="62">I87*F87</f>
        <v>7926.45</v>
      </c>
      <c r="K87" s="306"/>
      <c r="L87" s="264"/>
    </row>
    <row r="88" spans="2:19">
      <c r="B88" s="368" t="s">
        <v>705</v>
      </c>
      <c r="C88" s="332" t="s">
        <v>447</v>
      </c>
      <c r="D88" s="307" t="s">
        <v>702</v>
      </c>
      <c r="E88" s="300" t="s">
        <v>3</v>
      </c>
      <c r="F88" s="304">
        <v>630</v>
      </c>
      <c r="G88" s="332">
        <v>11.19</v>
      </c>
      <c r="H88" s="306">
        <f t="shared" si="60"/>
        <v>7049.7</v>
      </c>
      <c r="I88" s="306">
        <f t="shared" si="61"/>
        <v>13.97</v>
      </c>
      <c r="J88" s="306">
        <f t="shared" si="62"/>
        <v>8801.1</v>
      </c>
      <c r="K88" s="306"/>
      <c r="L88" s="264"/>
    </row>
    <row r="89" spans="2:19">
      <c r="B89" s="368" t="s">
        <v>785</v>
      </c>
      <c r="C89" s="332" t="s">
        <v>448</v>
      </c>
      <c r="D89" s="307" t="s">
        <v>556</v>
      </c>
      <c r="E89" s="300" t="s">
        <v>6</v>
      </c>
      <c r="F89" s="304">
        <v>40</v>
      </c>
      <c r="G89" s="332">
        <v>423.35</v>
      </c>
      <c r="H89" s="306">
        <f t="shared" ref="H89" si="63">G89*F89</f>
        <v>16934</v>
      </c>
      <c r="I89" s="306">
        <f t="shared" ref="I89" si="64">G89*(1+$K$9)</f>
        <v>528.42999999999995</v>
      </c>
      <c r="J89" s="306">
        <f t="shared" ref="J89" si="65">I89*F89</f>
        <v>21137.200000000001</v>
      </c>
      <c r="K89" s="306"/>
      <c r="L89" s="264"/>
    </row>
    <row r="90" spans="2:19">
      <c r="B90" s="368" t="s">
        <v>785</v>
      </c>
      <c r="C90" s="332" t="s">
        <v>449</v>
      </c>
      <c r="D90" s="267" t="s">
        <v>564</v>
      </c>
      <c r="E90" s="300" t="s">
        <v>6</v>
      </c>
      <c r="F90" s="304">
        <v>62</v>
      </c>
      <c r="G90" s="369">
        <v>2062</v>
      </c>
      <c r="H90" s="306">
        <f t="shared" ref="H90" si="66">G90*F90</f>
        <v>127844</v>
      </c>
      <c r="I90" s="306">
        <f t="shared" ref="I90" si="67">G90*(1+$K$9)</f>
        <v>2573.79</v>
      </c>
      <c r="J90" s="306">
        <f t="shared" ref="J90" si="68">I90*F90</f>
        <v>159574.98000000001</v>
      </c>
      <c r="K90" s="306"/>
      <c r="L90" s="264"/>
    </row>
    <row r="91" spans="2:19">
      <c r="B91" s="368"/>
      <c r="C91" s="332"/>
      <c r="D91" s="267"/>
      <c r="E91" s="300"/>
      <c r="F91" s="304"/>
      <c r="G91" s="369"/>
      <c r="H91" s="306"/>
      <c r="I91" s="306"/>
      <c r="J91" s="306"/>
      <c r="K91" s="306"/>
      <c r="L91" s="264"/>
    </row>
    <row r="92" spans="2:19">
      <c r="B92" s="366"/>
      <c r="C92" s="332">
        <v>7</v>
      </c>
      <c r="D92" s="267" t="s">
        <v>731</v>
      </c>
      <c r="E92" s="300"/>
      <c r="F92" s="304"/>
      <c r="G92" s="332"/>
      <c r="H92" s="306"/>
      <c r="I92" s="306"/>
      <c r="J92" s="306"/>
      <c r="K92" s="306">
        <f>SUM(J94:J114)</f>
        <v>47745.05</v>
      </c>
      <c r="L92" s="264"/>
    </row>
    <row r="93" spans="2:19" ht="51">
      <c r="B93" s="365"/>
      <c r="D93" s="307" t="s">
        <v>67</v>
      </c>
      <c r="E93" s="300"/>
      <c r="F93" s="304"/>
      <c r="G93" s="305"/>
      <c r="H93" s="306"/>
      <c r="I93" s="306"/>
      <c r="J93" s="306"/>
      <c r="K93" s="252"/>
      <c r="L93" s="264">
        <f>SUM(J94:J114)</f>
        <v>47745.05</v>
      </c>
    </row>
    <row r="94" spans="2:19" ht="38.25">
      <c r="B94" s="265" t="s">
        <v>66</v>
      </c>
      <c r="C94" s="302" t="s">
        <v>453</v>
      </c>
      <c r="D94" s="307" t="s">
        <v>95</v>
      </c>
      <c r="E94" s="308" t="s">
        <v>55</v>
      </c>
      <c r="F94" s="304">
        <v>34</v>
      </c>
      <c r="G94" s="305">
        <v>137.13</v>
      </c>
      <c r="H94" s="306">
        <f t="shared" ref="H94:H111" si="69">G94*F94</f>
        <v>4662.42</v>
      </c>
      <c r="I94" s="306">
        <f t="shared" ref="I94:I111" si="70">G94*(1+$K$9)</f>
        <v>171.17</v>
      </c>
      <c r="J94" s="306">
        <f t="shared" si="4"/>
        <v>5819.78</v>
      </c>
      <c r="K94" s="415"/>
      <c r="L94" s="264"/>
      <c r="O94" s="370"/>
      <c r="P94" s="371"/>
      <c r="Q94" s="355"/>
      <c r="R94" s="355"/>
      <c r="S94" s="355"/>
    </row>
    <row r="95" spans="2:19" ht="38.25">
      <c r="B95" s="265">
        <v>89724</v>
      </c>
      <c r="C95" s="302" t="s">
        <v>454</v>
      </c>
      <c r="D95" s="263" t="s">
        <v>96</v>
      </c>
      <c r="E95" s="308" t="s">
        <v>55</v>
      </c>
      <c r="F95" s="304">
        <f>75+35</f>
        <v>110</v>
      </c>
      <c r="G95" s="364">
        <v>6.31</v>
      </c>
      <c r="H95" s="306">
        <f t="shared" si="69"/>
        <v>694.1</v>
      </c>
      <c r="I95" s="306">
        <f t="shared" si="70"/>
        <v>7.88</v>
      </c>
      <c r="J95" s="306">
        <f t="shared" si="4"/>
        <v>866.8</v>
      </c>
      <c r="K95" s="306"/>
      <c r="L95" s="264"/>
      <c r="O95" s="355"/>
    </row>
    <row r="96" spans="2:19" ht="38.25">
      <c r="B96" s="265">
        <v>89731</v>
      </c>
      <c r="C96" s="302" t="s">
        <v>455</v>
      </c>
      <c r="D96" s="263" t="s">
        <v>97</v>
      </c>
      <c r="E96" s="308" t="s">
        <v>55</v>
      </c>
      <c r="F96" s="304">
        <v>124</v>
      </c>
      <c r="G96" s="306">
        <v>8.18</v>
      </c>
      <c r="H96" s="306">
        <f t="shared" si="69"/>
        <v>1014.32</v>
      </c>
      <c r="I96" s="306">
        <f t="shared" si="70"/>
        <v>10.210000000000001</v>
      </c>
      <c r="J96" s="306">
        <f t="shared" si="4"/>
        <v>1266.04</v>
      </c>
      <c r="K96" s="306"/>
      <c r="L96" s="264"/>
      <c r="O96" s="355"/>
    </row>
    <row r="97" spans="2:15" ht="38.25">
      <c r="B97" s="265">
        <v>89726</v>
      </c>
      <c r="C97" s="302" t="s">
        <v>456</v>
      </c>
      <c r="D97" s="263" t="s">
        <v>98</v>
      </c>
      <c r="E97" s="308" t="s">
        <v>55</v>
      </c>
      <c r="F97" s="304">
        <v>1</v>
      </c>
      <c r="G97" s="306">
        <v>7.65</v>
      </c>
      <c r="H97" s="306">
        <f t="shared" si="69"/>
        <v>7.65</v>
      </c>
      <c r="I97" s="306">
        <f t="shared" si="70"/>
        <v>9.5500000000000007</v>
      </c>
      <c r="J97" s="306">
        <f t="shared" si="4"/>
        <v>9.5500000000000007</v>
      </c>
      <c r="K97" s="306"/>
      <c r="L97" s="264"/>
      <c r="O97" s="355"/>
    </row>
    <row r="98" spans="2:15" ht="38.25">
      <c r="B98" s="265">
        <v>89726</v>
      </c>
      <c r="C98" s="302" t="s">
        <v>457</v>
      </c>
      <c r="D98" s="263" t="s">
        <v>99</v>
      </c>
      <c r="E98" s="308" t="s">
        <v>55</v>
      </c>
      <c r="F98" s="304">
        <v>31</v>
      </c>
      <c r="G98" s="306">
        <v>8.18</v>
      </c>
      <c r="H98" s="306">
        <f t="shared" ref="H98" si="71">G98*F98</f>
        <v>253.58</v>
      </c>
      <c r="I98" s="306">
        <f t="shared" ref="I98" si="72">G98*(1+$K$9)</f>
        <v>10.210000000000001</v>
      </c>
      <c r="J98" s="306">
        <f t="shared" ref="J98:J174" si="73">I98*F98</f>
        <v>316.51</v>
      </c>
      <c r="K98" s="306"/>
      <c r="L98" s="264"/>
      <c r="O98" s="355"/>
    </row>
    <row r="99" spans="2:15" ht="25.5">
      <c r="B99" s="265">
        <v>89746</v>
      </c>
      <c r="C99" s="302" t="s">
        <v>458</v>
      </c>
      <c r="D99" s="263" t="s">
        <v>100</v>
      </c>
      <c r="E99" s="308" t="s">
        <v>55</v>
      </c>
      <c r="F99" s="304">
        <v>12</v>
      </c>
      <c r="G99" s="306">
        <v>18.809999999999999</v>
      </c>
      <c r="H99" s="306">
        <f t="shared" si="69"/>
        <v>225.72</v>
      </c>
      <c r="I99" s="306">
        <f t="shared" si="70"/>
        <v>23.48</v>
      </c>
      <c r="J99" s="306">
        <f t="shared" si="73"/>
        <v>281.76</v>
      </c>
      <c r="K99" s="306"/>
      <c r="L99" s="264"/>
    </row>
    <row r="100" spans="2:15" ht="25.5">
      <c r="B100" s="265">
        <v>89797</v>
      </c>
      <c r="C100" s="302" t="s">
        <v>459</v>
      </c>
      <c r="D100" s="263" t="s">
        <v>101</v>
      </c>
      <c r="E100" s="308" t="s">
        <v>55</v>
      </c>
      <c r="F100" s="304">
        <v>15</v>
      </c>
      <c r="G100" s="306">
        <v>35.520000000000003</v>
      </c>
      <c r="H100" s="306">
        <f t="shared" ref="H100:H101" si="74">G100*F100</f>
        <v>532.79999999999995</v>
      </c>
      <c r="I100" s="306">
        <f t="shared" ref="I100:I101" si="75">G100*(1+$K$9)</f>
        <v>44.34</v>
      </c>
      <c r="J100" s="306">
        <f t="shared" si="73"/>
        <v>665.1</v>
      </c>
      <c r="K100" s="306"/>
      <c r="L100" s="264"/>
    </row>
    <row r="101" spans="2:15" ht="25.5">
      <c r="B101" s="265">
        <v>89785</v>
      </c>
      <c r="C101" s="302" t="s">
        <v>460</v>
      </c>
      <c r="D101" s="263" t="s">
        <v>103</v>
      </c>
      <c r="E101" s="308" t="s">
        <v>55</v>
      </c>
      <c r="F101" s="304">
        <v>1</v>
      </c>
      <c r="G101" s="306">
        <v>15.59</v>
      </c>
      <c r="H101" s="306">
        <f t="shared" si="74"/>
        <v>15.59</v>
      </c>
      <c r="I101" s="306">
        <f t="shared" si="75"/>
        <v>19.46</v>
      </c>
      <c r="J101" s="306">
        <f t="shared" si="73"/>
        <v>19.46</v>
      </c>
      <c r="K101" s="306"/>
      <c r="L101" s="264"/>
    </row>
    <row r="102" spans="2:15" ht="25.5">
      <c r="B102" s="265">
        <v>89813</v>
      </c>
      <c r="C102" s="302" t="s">
        <v>461</v>
      </c>
      <c r="D102" s="263" t="s">
        <v>102</v>
      </c>
      <c r="E102" s="308" t="s">
        <v>55</v>
      </c>
      <c r="F102" s="304">
        <v>140</v>
      </c>
      <c r="G102" s="306">
        <v>4.09</v>
      </c>
      <c r="H102" s="306">
        <f t="shared" si="69"/>
        <v>572.6</v>
      </c>
      <c r="I102" s="306">
        <f t="shared" si="70"/>
        <v>5.1100000000000003</v>
      </c>
      <c r="J102" s="306">
        <f t="shared" si="73"/>
        <v>715.4</v>
      </c>
      <c r="K102" s="306"/>
      <c r="L102" s="264"/>
    </row>
    <row r="103" spans="2:15" ht="25.5">
      <c r="B103" s="265">
        <v>89813</v>
      </c>
      <c r="C103" s="302" t="s">
        <v>462</v>
      </c>
      <c r="D103" s="263" t="s">
        <v>104</v>
      </c>
      <c r="E103" s="308" t="s">
        <v>55</v>
      </c>
      <c r="F103" s="304">
        <v>232</v>
      </c>
      <c r="G103" s="306">
        <v>7</v>
      </c>
      <c r="H103" s="306">
        <f t="shared" si="69"/>
        <v>1624</v>
      </c>
      <c r="I103" s="306">
        <f t="shared" si="70"/>
        <v>8.74</v>
      </c>
      <c r="J103" s="306">
        <f t="shared" si="73"/>
        <v>2027.68</v>
      </c>
      <c r="K103" s="306"/>
      <c r="L103" s="264"/>
    </row>
    <row r="104" spans="2:15" ht="25.5">
      <c r="B104" s="265">
        <v>89813</v>
      </c>
      <c r="C104" s="302" t="s">
        <v>463</v>
      </c>
      <c r="D104" s="307" t="s">
        <v>68</v>
      </c>
      <c r="E104" s="308" t="s">
        <v>55</v>
      </c>
      <c r="F104" s="304">
        <v>130</v>
      </c>
      <c r="G104" s="306">
        <v>9</v>
      </c>
      <c r="H104" s="306">
        <f t="shared" si="69"/>
        <v>1170</v>
      </c>
      <c r="I104" s="306">
        <f t="shared" si="70"/>
        <v>11.23</v>
      </c>
      <c r="J104" s="306">
        <f t="shared" si="73"/>
        <v>1459.9</v>
      </c>
      <c r="K104" s="306"/>
      <c r="L104" s="264"/>
    </row>
    <row r="105" spans="2:15" ht="25.5">
      <c r="B105" s="265" t="s">
        <v>69</v>
      </c>
      <c r="C105" s="302" t="s">
        <v>464</v>
      </c>
      <c r="D105" s="263" t="s">
        <v>92</v>
      </c>
      <c r="E105" s="300" t="s">
        <v>3</v>
      </c>
      <c r="F105" s="304">
        <f>692+10</f>
        <v>702</v>
      </c>
      <c r="G105" s="305">
        <v>10</v>
      </c>
      <c r="H105" s="306">
        <f t="shared" si="69"/>
        <v>7020</v>
      </c>
      <c r="I105" s="306">
        <f t="shared" si="70"/>
        <v>12.48</v>
      </c>
      <c r="J105" s="306">
        <f t="shared" si="73"/>
        <v>8760.9599999999991</v>
      </c>
      <c r="K105" s="306"/>
      <c r="L105" s="264"/>
    </row>
    <row r="106" spans="2:15" ht="25.5">
      <c r="B106" s="265" t="s">
        <v>93</v>
      </c>
      <c r="C106" s="302" t="s">
        <v>465</v>
      </c>
      <c r="D106" s="263" t="s">
        <v>94</v>
      </c>
      <c r="E106" s="300" t="s">
        <v>3</v>
      </c>
      <c r="F106" s="304">
        <v>300</v>
      </c>
      <c r="G106" s="306">
        <v>1.75</v>
      </c>
      <c r="H106" s="306">
        <f t="shared" si="69"/>
        <v>525</v>
      </c>
      <c r="I106" s="306">
        <f t="shared" si="70"/>
        <v>2.1800000000000002</v>
      </c>
      <c r="J106" s="306">
        <f t="shared" si="73"/>
        <v>654</v>
      </c>
      <c r="K106" s="306"/>
      <c r="L106" s="264"/>
    </row>
    <row r="107" spans="2:15" ht="38.25">
      <c r="B107" s="265" t="s">
        <v>93</v>
      </c>
      <c r="C107" s="302" t="s">
        <v>466</v>
      </c>
      <c r="D107" s="307" t="s">
        <v>105</v>
      </c>
      <c r="E107" s="300" t="s">
        <v>3</v>
      </c>
      <c r="F107" s="304">
        <v>165</v>
      </c>
      <c r="G107" s="306">
        <v>1.75</v>
      </c>
      <c r="H107" s="306">
        <f t="shared" ref="H107" si="76">G107*F107</f>
        <v>288.75</v>
      </c>
      <c r="I107" s="306">
        <f t="shared" ref="I107" si="77">G107*(1+$K$9)</f>
        <v>2.1800000000000002</v>
      </c>
      <c r="J107" s="306">
        <f t="shared" si="73"/>
        <v>359.7</v>
      </c>
      <c r="K107" s="306"/>
      <c r="L107" s="264"/>
    </row>
    <row r="108" spans="2:15" ht="38.25">
      <c r="B108" s="265">
        <v>89833</v>
      </c>
      <c r="C108" s="302" t="s">
        <v>467</v>
      </c>
      <c r="D108" s="307" t="s">
        <v>106</v>
      </c>
      <c r="E108" s="308" t="s">
        <v>55</v>
      </c>
      <c r="F108" s="304">
        <v>25</v>
      </c>
      <c r="G108" s="306">
        <v>23.99</v>
      </c>
      <c r="H108" s="306">
        <f t="shared" si="69"/>
        <v>599.75</v>
      </c>
      <c r="I108" s="306">
        <f t="shared" si="70"/>
        <v>29.94</v>
      </c>
      <c r="J108" s="306">
        <f t="shared" si="73"/>
        <v>748.5</v>
      </c>
      <c r="K108" s="306"/>
      <c r="L108" s="264"/>
    </row>
    <row r="109" spans="2:15" ht="38.25">
      <c r="B109" s="265">
        <v>89834</v>
      </c>
      <c r="C109" s="302" t="s">
        <v>468</v>
      </c>
      <c r="D109" s="307" t="s">
        <v>106</v>
      </c>
      <c r="E109" s="308" t="s">
        <v>55</v>
      </c>
      <c r="F109" s="304">
        <v>7</v>
      </c>
      <c r="G109" s="306">
        <v>22</v>
      </c>
      <c r="H109" s="306">
        <f t="shared" si="69"/>
        <v>154</v>
      </c>
      <c r="I109" s="306">
        <f t="shared" si="70"/>
        <v>27.46</v>
      </c>
      <c r="J109" s="306">
        <f t="shared" si="73"/>
        <v>192.22</v>
      </c>
      <c r="K109" s="306"/>
      <c r="L109" s="264"/>
    </row>
    <row r="110" spans="2:15" ht="38.25">
      <c r="B110" s="265">
        <v>89827</v>
      </c>
      <c r="C110" s="302" t="s">
        <v>469</v>
      </c>
      <c r="D110" s="271" t="s">
        <v>107</v>
      </c>
      <c r="E110" s="308" t="s">
        <v>55</v>
      </c>
      <c r="F110" s="304">
        <v>12</v>
      </c>
      <c r="G110" s="306">
        <v>12</v>
      </c>
      <c r="H110" s="306">
        <f t="shared" si="69"/>
        <v>144</v>
      </c>
      <c r="I110" s="306">
        <f t="shared" si="70"/>
        <v>14.98</v>
      </c>
      <c r="J110" s="306">
        <f t="shared" si="73"/>
        <v>179.76</v>
      </c>
      <c r="K110" s="306"/>
      <c r="L110" s="264"/>
    </row>
    <row r="111" spans="2:15">
      <c r="B111" s="341">
        <v>89709</v>
      </c>
      <c r="C111" s="302" t="s">
        <v>470</v>
      </c>
      <c r="D111" s="224" t="s">
        <v>728</v>
      </c>
      <c r="E111" s="308" t="s">
        <v>55</v>
      </c>
      <c r="F111" s="304">
        <v>70</v>
      </c>
      <c r="G111" s="306">
        <v>8.9499999999999993</v>
      </c>
      <c r="H111" s="306">
        <f t="shared" si="69"/>
        <v>626.5</v>
      </c>
      <c r="I111" s="306">
        <f t="shared" si="70"/>
        <v>11.17</v>
      </c>
      <c r="J111" s="306">
        <f t="shared" si="73"/>
        <v>781.9</v>
      </c>
      <c r="K111" s="306"/>
      <c r="L111" s="264"/>
    </row>
    <row r="112" spans="2:15">
      <c r="B112" s="341"/>
      <c r="C112" s="332"/>
      <c r="D112" s="306" t="s">
        <v>727</v>
      </c>
      <c r="E112" s="308"/>
      <c r="F112" s="304"/>
      <c r="G112" s="306"/>
      <c r="H112" s="306"/>
      <c r="I112" s="306"/>
      <c r="J112" s="306"/>
      <c r="K112" s="306"/>
      <c r="L112" s="264"/>
    </row>
    <row r="113" spans="2:14" ht="25.5">
      <c r="B113" s="341" t="s">
        <v>726</v>
      </c>
      <c r="C113" s="302" t="s">
        <v>758</v>
      </c>
      <c r="D113" s="271" t="s">
        <v>730</v>
      </c>
      <c r="E113" s="308" t="s">
        <v>55</v>
      </c>
      <c r="F113" s="304">
        <v>9</v>
      </c>
      <c r="G113" s="306">
        <v>332.77</v>
      </c>
      <c r="H113" s="306">
        <f t="shared" ref="H113" si="78">G113*F113</f>
        <v>2994.93</v>
      </c>
      <c r="I113" s="306">
        <f t="shared" ref="I113" si="79">G113*(1+$K$9)</f>
        <v>415.36</v>
      </c>
      <c r="J113" s="306">
        <f t="shared" ref="J113" si="80">I113*F113</f>
        <v>3738.24</v>
      </c>
      <c r="K113" s="306"/>
      <c r="L113" s="264"/>
    </row>
    <row r="114" spans="2:14">
      <c r="B114" s="341" t="s">
        <v>729</v>
      </c>
      <c r="C114" s="302" t="s">
        <v>759</v>
      </c>
      <c r="E114" s="308" t="s">
        <v>3</v>
      </c>
      <c r="F114" s="304">
        <v>237</v>
      </c>
      <c r="G114" s="306">
        <v>63.83</v>
      </c>
      <c r="H114" s="306">
        <f t="shared" ref="H114" si="81">G114*F114</f>
        <v>15127.71</v>
      </c>
      <c r="I114" s="306">
        <f t="shared" ref="I114" si="82">G114*(1+$K$9)</f>
        <v>79.67</v>
      </c>
      <c r="J114" s="306">
        <f t="shared" ref="J114" si="83">I114*F114</f>
        <v>18881.79</v>
      </c>
      <c r="K114" s="306"/>
      <c r="L114" s="264"/>
    </row>
    <row r="115" spans="2:14">
      <c r="B115" s="265"/>
      <c r="C115" s="338"/>
      <c r="E115" s="332"/>
      <c r="F115" s="304"/>
      <c r="G115" s="306"/>
      <c r="H115" s="306"/>
      <c r="I115" s="306"/>
      <c r="J115" s="306"/>
      <c r="K115" s="306"/>
      <c r="L115" s="264"/>
    </row>
    <row r="116" spans="2:14" ht="15" customHeight="1">
      <c r="B116" s="265"/>
      <c r="C116" s="338">
        <v>8</v>
      </c>
      <c r="D116" s="263" t="s">
        <v>736</v>
      </c>
      <c r="E116" s="332"/>
      <c r="F116" s="304"/>
      <c r="G116" s="306"/>
      <c r="H116" s="306"/>
      <c r="I116" s="306"/>
      <c r="J116" s="306"/>
      <c r="K116" s="306">
        <f>SUM(J116:J118)</f>
        <v>357868.79999999999</v>
      </c>
      <c r="L116" s="264">
        <f>SUM(J116:J118)</f>
        <v>357868.79999999999</v>
      </c>
    </row>
    <row r="117" spans="2:14" ht="38.25">
      <c r="B117" s="341" t="s">
        <v>1078</v>
      </c>
      <c r="C117" s="338" t="s">
        <v>472</v>
      </c>
      <c r="D117" s="263" t="s">
        <v>109</v>
      </c>
      <c r="E117" s="332" t="s">
        <v>8</v>
      </c>
      <c r="F117" s="304">
        <v>9810</v>
      </c>
      <c r="G117" s="306">
        <v>4.1900000000000004</v>
      </c>
      <c r="H117" s="306">
        <f t="shared" ref="H117" si="84">G117*F117</f>
        <v>41103.9</v>
      </c>
      <c r="I117" s="306">
        <f t="shared" ref="I117" si="85">G117*(1+$K$9)</f>
        <v>5.23</v>
      </c>
      <c r="J117" s="306">
        <f t="shared" ref="J117:J118" si="86">I117*F117</f>
        <v>51306.3</v>
      </c>
      <c r="K117" s="306"/>
      <c r="L117" s="264"/>
    </row>
    <row r="118" spans="2:14" ht="45" customHeight="1">
      <c r="B118" s="341" t="s">
        <v>1077</v>
      </c>
      <c r="C118" s="338" t="s">
        <v>473</v>
      </c>
      <c r="D118" s="267" t="s">
        <v>1079</v>
      </c>
      <c r="E118" s="332" t="s">
        <v>8</v>
      </c>
      <c r="F118" s="304">
        <f>F117</f>
        <v>9810</v>
      </c>
      <c r="G118" s="306">
        <v>25.04</v>
      </c>
      <c r="H118" s="306">
        <f>G118*F118</f>
        <v>245642.4</v>
      </c>
      <c r="I118" s="306">
        <f>G118*(1+$K$9)</f>
        <v>31.25</v>
      </c>
      <c r="J118" s="306">
        <f t="shared" si="86"/>
        <v>306562.5</v>
      </c>
      <c r="K118" s="306"/>
      <c r="L118" s="264"/>
    </row>
    <row r="119" spans="2:14">
      <c r="B119" s="341"/>
      <c r="F119" s="252"/>
      <c r="G119" s="252"/>
      <c r="H119" s="252"/>
      <c r="I119" s="252"/>
      <c r="J119" s="252"/>
      <c r="K119" s="306"/>
      <c r="L119" s="264"/>
    </row>
    <row r="120" spans="2:14">
      <c r="B120" s="265"/>
      <c r="C120" s="338"/>
      <c r="E120" s="332"/>
      <c r="F120" s="304"/>
      <c r="G120" s="306"/>
      <c r="H120" s="306"/>
      <c r="I120" s="306"/>
      <c r="J120" s="306"/>
      <c r="K120" s="306"/>
      <c r="L120" s="264"/>
    </row>
    <row r="121" spans="2:14">
      <c r="B121" s="265"/>
      <c r="C121" s="338">
        <v>9</v>
      </c>
      <c r="D121" s="267" t="s">
        <v>735</v>
      </c>
      <c r="E121" s="332"/>
      <c r="F121" s="304"/>
      <c r="G121" s="306"/>
      <c r="H121" s="306"/>
      <c r="I121" s="306"/>
      <c r="J121" s="306"/>
      <c r="K121" s="306">
        <f>SUM(J122:J129)</f>
        <v>277963.92</v>
      </c>
      <c r="L121" s="264">
        <f>SUM(J121:J129)</f>
        <v>277963.92</v>
      </c>
    </row>
    <row r="122" spans="2:14">
      <c r="B122" s="265"/>
      <c r="C122" s="338"/>
      <c r="D122" s="222" t="s">
        <v>700</v>
      </c>
      <c r="E122" s="332"/>
      <c r="F122" s="310"/>
      <c r="G122" s="306"/>
      <c r="H122" s="306"/>
      <c r="I122" s="306"/>
      <c r="J122" s="306"/>
      <c r="K122" s="306"/>
      <c r="L122" s="264"/>
    </row>
    <row r="123" spans="2:14" ht="38.25">
      <c r="B123" s="368">
        <v>87275</v>
      </c>
      <c r="C123" s="338" t="s">
        <v>474</v>
      </c>
      <c r="D123" s="307" t="s">
        <v>701</v>
      </c>
      <c r="E123" s="332" t="s">
        <v>8</v>
      </c>
      <c r="F123" s="304">
        <v>462</v>
      </c>
      <c r="G123" s="306">
        <v>49.14</v>
      </c>
      <c r="H123" s="306">
        <f t="shared" ref="H123" si="87">G123*F123</f>
        <v>22702.68</v>
      </c>
      <c r="I123" s="306">
        <f t="shared" ref="I123" si="88">G123*(1+$K$9)</f>
        <v>61.34</v>
      </c>
      <c r="J123" s="306">
        <f t="shared" ref="J123" si="89">I123*F123</f>
        <v>28339.08</v>
      </c>
      <c r="K123" s="306"/>
      <c r="L123" s="264"/>
    </row>
    <row r="124" spans="2:14" ht="25.5">
      <c r="B124" s="368">
        <v>87275</v>
      </c>
      <c r="C124" s="338" t="s">
        <v>475</v>
      </c>
      <c r="D124" s="267" t="s">
        <v>245</v>
      </c>
      <c r="E124" s="332" t="s">
        <v>8</v>
      </c>
      <c r="F124" s="304">
        <v>40</v>
      </c>
      <c r="G124" s="306">
        <v>49.14</v>
      </c>
      <c r="H124" s="306">
        <f t="shared" ref="H124" si="90">G124*F124</f>
        <v>1965.6</v>
      </c>
      <c r="I124" s="306">
        <f t="shared" ref="I124" si="91">G124*(1+$K$9)</f>
        <v>61.34</v>
      </c>
      <c r="J124" s="306">
        <f t="shared" ref="J124" si="92">I124*F124</f>
        <v>2453.6</v>
      </c>
      <c r="K124" s="306"/>
      <c r="L124" s="264"/>
    </row>
    <row r="125" spans="2:14">
      <c r="B125" s="368"/>
      <c r="C125" s="338"/>
      <c r="E125" s="332"/>
      <c r="F125" s="304"/>
      <c r="G125" s="306"/>
      <c r="H125" s="306"/>
      <c r="I125" s="306"/>
      <c r="J125" s="306">
        <f t="shared" ref="J125" si="93">I125*F125</f>
        <v>0</v>
      </c>
      <c r="K125" s="306"/>
      <c r="L125" s="264"/>
    </row>
    <row r="126" spans="2:14">
      <c r="B126" s="368"/>
      <c r="C126" s="338"/>
      <c r="D126" s="222" t="s">
        <v>483</v>
      </c>
      <c r="E126" s="332"/>
      <c r="F126" s="304"/>
      <c r="G126" s="306"/>
      <c r="H126" s="306"/>
      <c r="I126" s="306"/>
      <c r="J126" s="306"/>
      <c r="K126" s="306"/>
      <c r="L126" s="264"/>
    </row>
    <row r="127" spans="2:14" ht="38.25">
      <c r="B127" s="368">
        <v>92397</v>
      </c>
      <c r="C127" s="338" t="s">
        <v>476</v>
      </c>
      <c r="D127" s="263" t="s">
        <v>1080</v>
      </c>
      <c r="E127" s="332" t="s">
        <v>8</v>
      </c>
      <c r="F127" s="304">
        <v>1640</v>
      </c>
      <c r="G127" s="306">
        <v>44.04</v>
      </c>
      <c r="H127" s="306">
        <f t="shared" ref="H127" si="94">G127*F127</f>
        <v>72225.600000000006</v>
      </c>
      <c r="I127" s="306">
        <f t="shared" ref="I127" si="95">G127*(1+$K$9)</f>
        <v>54.97</v>
      </c>
      <c r="J127" s="306">
        <f t="shared" ref="J127" si="96">I127*F127</f>
        <v>90150.8</v>
      </c>
      <c r="K127" s="306"/>
      <c r="L127" s="264"/>
      <c r="N127" s="272">
        <f>6197.4-N134</f>
        <v>4556.6000000000004</v>
      </c>
    </row>
    <row r="128" spans="2:14">
      <c r="B128" s="252"/>
      <c r="D128" s="225" t="s">
        <v>484</v>
      </c>
      <c r="F128" s="252"/>
      <c r="G128" s="252"/>
      <c r="H128" s="252"/>
      <c r="I128" s="252"/>
      <c r="J128" s="252"/>
      <c r="K128" s="306"/>
      <c r="L128" s="264"/>
    </row>
    <row r="129" spans="2:14" ht="38.25">
      <c r="B129" s="372">
        <v>87251</v>
      </c>
      <c r="C129" s="338" t="s">
        <v>477</v>
      </c>
      <c r="D129" s="267" t="s">
        <v>246</v>
      </c>
      <c r="E129" s="332" t="s">
        <v>8</v>
      </c>
      <c r="F129" s="304">
        <v>4556.6000000000004</v>
      </c>
      <c r="G129" s="306">
        <v>27.61</v>
      </c>
      <c r="H129" s="306">
        <f t="shared" ref="H129" si="97">G129*F129</f>
        <v>125807.73</v>
      </c>
      <c r="I129" s="306">
        <f t="shared" ref="I129" si="98">G129*(1+$K$9)</f>
        <v>34.46</v>
      </c>
      <c r="J129" s="306">
        <f t="shared" ref="J129" si="99">I129*F129</f>
        <v>157020.44</v>
      </c>
      <c r="K129" s="306"/>
      <c r="L129" s="264"/>
    </row>
    <row r="130" spans="2:14">
      <c r="B130" s="265"/>
      <c r="C130" s="338">
        <v>10</v>
      </c>
      <c r="D130" s="267" t="s">
        <v>578</v>
      </c>
      <c r="E130" s="332"/>
      <c r="F130" s="304"/>
      <c r="G130" s="306"/>
      <c r="H130" s="306"/>
      <c r="I130" s="306"/>
      <c r="J130" s="306"/>
      <c r="K130" s="306">
        <f>SUM(J132:J138)</f>
        <v>1332744.4099999999</v>
      </c>
      <c r="L130" s="264">
        <f>SUM(J132:J139)</f>
        <v>1332744.4099999999</v>
      </c>
      <c r="N130" s="272">
        <f>122*4</f>
        <v>488</v>
      </c>
    </row>
    <row r="131" spans="2:14">
      <c r="B131" s="265"/>
      <c r="E131" s="332"/>
      <c r="F131" s="304"/>
      <c r="G131" s="306"/>
      <c r="H131" s="306"/>
      <c r="I131" s="306"/>
      <c r="J131" s="306"/>
      <c r="K131" s="252"/>
      <c r="N131" s="272">
        <f>184.2*4</f>
        <v>736.8</v>
      </c>
    </row>
    <row r="132" spans="2:14">
      <c r="B132" s="265"/>
      <c r="C132" s="338"/>
      <c r="D132" s="222" t="s">
        <v>241</v>
      </c>
      <c r="E132" s="332"/>
      <c r="F132" s="304"/>
      <c r="G132" s="306"/>
      <c r="H132" s="306"/>
      <c r="I132" s="306"/>
      <c r="J132" s="306"/>
      <c r="K132" s="306"/>
      <c r="L132" s="264"/>
      <c r="N132" s="272">
        <f>16*10</f>
        <v>160</v>
      </c>
    </row>
    <row r="133" spans="2:14" ht="25.5">
      <c r="B133" s="265" t="s">
        <v>737</v>
      </c>
      <c r="C133" s="338" t="s">
        <v>481</v>
      </c>
      <c r="D133" s="267" t="s">
        <v>720</v>
      </c>
      <c r="E133" s="332" t="s">
        <v>8</v>
      </c>
      <c r="F133" s="304">
        <v>1035</v>
      </c>
      <c r="G133" s="306">
        <v>935.52</v>
      </c>
      <c r="H133" s="306">
        <f t="shared" ref="H133" si="100">G133*F133</f>
        <v>968263.2</v>
      </c>
      <c r="I133" s="306">
        <f t="shared" ref="I133" si="101">G133*(1+$K$9)</f>
        <v>1167.72</v>
      </c>
      <c r="J133" s="306">
        <f t="shared" ref="J133" si="102">I133*F133</f>
        <v>1208590.2</v>
      </c>
      <c r="K133" s="306"/>
      <c r="L133" s="264"/>
      <c r="N133" s="272">
        <f>16*16</f>
        <v>256</v>
      </c>
    </row>
    <row r="134" spans="2:14">
      <c r="B134" s="265"/>
      <c r="C134" s="332"/>
      <c r="D134" s="222" t="s">
        <v>247</v>
      </c>
      <c r="E134" s="332"/>
      <c r="F134" s="304"/>
      <c r="G134" s="306"/>
      <c r="H134" s="306"/>
      <c r="I134" s="306"/>
      <c r="J134" s="306"/>
      <c r="K134" s="306"/>
      <c r="L134" s="264"/>
      <c r="N134" s="272">
        <f>SUM(N130:N133)</f>
        <v>1640.8</v>
      </c>
    </row>
    <row r="135" spans="2:14" ht="25.5">
      <c r="B135" s="372">
        <v>91338</v>
      </c>
      <c r="C135" s="338" t="s">
        <v>482</v>
      </c>
      <c r="D135" s="267" t="s">
        <v>244</v>
      </c>
      <c r="E135" s="332" t="s">
        <v>8</v>
      </c>
      <c r="F135" s="304">
        <v>65.5</v>
      </c>
      <c r="G135" s="306">
        <v>870.35</v>
      </c>
      <c r="H135" s="306">
        <f t="shared" ref="H135" si="103">G135*F135</f>
        <v>57007.93</v>
      </c>
      <c r="I135" s="306">
        <f t="shared" ref="I135" si="104">G135*(1+$K$9)</f>
        <v>1086.3699999999999</v>
      </c>
      <c r="J135" s="306">
        <f t="shared" ref="J135" si="105">I135*F135</f>
        <v>71157.240000000005</v>
      </c>
      <c r="K135" s="306"/>
      <c r="L135" s="264"/>
    </row>
    <row r="136" spans="2:14" ht="36" customHeight="1">
      <c r="B136" s="372"/>
      <c r="C136" s="338" t="s">
        <v>485</v>
      </c>
      <c r="D136" s="267" t="s">
        <v>957</v>
      </c>
      <c r="E136" s="332" t="s">
        <v>243</v>
      </c>
      <c r="F136" s="304">
        <v>2</v>
      </c>
      <c r="G136" s="306">
        <v>1500</v>
      </c>
      <c r="H136" s="306">
        <f t="shared" ref="H136" si="106">G136*F136</f>
        <v>3000</v>
      </c>
      <c r="I136" s="306">
        <f t="shared" ref="I136" si="107">G136*(1+$K$9)</f>
        <v>1872.3</v>
      </c>
      <c r="J136" s="306">
        <f t="shared" ref="J136" si="108">I136*F136</f>
        <v>3744.6</v>
      </c>
      <c r="K136" s="306"/>
      <c r="L136" s="264"/>
    </row>
    <row r="137" spans="2:14">
      <c r="B137" s="265"/>
      <c r="D137" s="222" t="s">
        <v>486</v>
      </c>
      <c r="E137" s="332"/>
      <c r="F137" s="304"/>
      <c r="G137" s="306"/>
      <c r="H137" s="306"/>
      <c r="I137" s="306"/>
      <c r="J137" s="306"/>
      <c r="K137" s="306"/>
      <c r="L137" s="264"/>
    </row>
    <row r="138" spans="2:14" ht="51">
      <c r="B138" s="341">
        <v>91326</v>
      </c>
      <c r="C138" s="338" t="s">
        <v>1081</v>
      </c>
      <c r="D138" s="267" t="s">
        <v>242</v>
      </c>
      <c r="E138" s="332" t="s">
        <v>243</v>
      </c>
      <c r="F138" s="304">
        <v>67</v>
      </c>
      <c r="G138" s="306">
        <v>588.94000000000005</v>
      </c>
      <c r="H138" s="306">
        <f t="shared" ref="H138" si="109">G138*F138</f>
        <v>39458.980000000003</v>
      </c>
      <c r="I138" s="306">
        <f t="shared" ref="I138" si="110">G138*(1+$K$9)</f>
        <v>735.11</v>
      </c>
      <c r="J138" s="306">
        <f t="shared" ref="J138" si="111">I138*F138</f>
        <v>49252.37</v>
      </c>
      <c r="K138" s="306"/>
      <c r="L138" s="264"/>
    </row>
    <row r="139" spans="2:14">
      <c r="B139" s="341"/>
      <c r="C139" s="338"/>
      <c r="D139" s="267"/>
      <c r="E139" s="332"/>
      <c r="F139" s="304"/>
      <c r="G139" s="306"/>
      <c r="H139" s="306"/>
      <c r="I139" s="306"/>
      <c r="J139" s="306"/>
      <c r="K139" s="306"/>
      <c r="L139" s="264"/>
    </row>
    <row r="140" spans="2:14">
      <c r="B140" s="265"/>
      <c r="C140" s="338">
        <v>11</v>
      </c>
      <c r="D140" s="267" t="s">
        <v>248</v>
      </c>
      <c r="E140" s="332"/>
      <c r="F140" s="304"/>
      <c r="G140" s="306"/>
      <c r="H140" s="306"/>
      <c r="I140" s="306"/>
      <c r="J140" s="306"/>
      <c r="K140" s="306">
        <f>SUM(J141:J141)</f>
        <v>168646</v>
      </c>
      <c r="L140" s="264"/>
    </row>
    <row r="141" spans="2:14">
      <c r="B141" s="265" t="s">
        <v>725</v>
      </c>
      <c r="C141" s="338" t="s">
        <v>481</v>
      </c>
      <c r="D141" s="267" t="s">
        <v>920</v>
      </c>
      <c r="E141" s="332" t="s">
        <v>8</v>
      </c>
      <c r="F141" s="304">
        <v>1060</v>
      </c>
      <c r="G141" s="306">
        <v>127.46</v>
      </c>
      <c r="H141" s="306">
        <f t="shared" ref="H141" si="112">G141*F141</f>
        <v>135107.6</v>
      </c>
      <c r="I141" s="306">
        <f t="shared" ref="I141" si="113">G141*(1+$K$9)</f>
        <v>159.1</v>
      </c>
      <c r="J141" s="306">
        <f t="shared" ref="J141" si="114">I141*F141</f>
        <v>168646</v>
      </c>
      <c r="K141" s="252"/>
      <c r="L141" s="264">
        <f>SUM(J141)</f>
        <v>168646</v>
      </c>
    </row>
    <row r="142" spans="2:14">
      <c r="B142" s="252"/>
      <c r="D142" s="267"/>
      <c r="F142" s="252"/>
      <c r="G142" s="252"/>
      <c r="H142" s="252"/>
      <c r="I142" s="252"/>
      <c r="J142" s="252"/>
      <c r="K142" s="306"/>
      <c r="L142" s="264"/>
    </row>
    <row r="143" spans="2:14">
      <c r="B143" s="265"/>
      <c r="C143" s="302">
        <v>12</v>
      </c>
      <c r="D143" s="423" t="s">
        <v>721</v>
      </c>
      <c r="E143" s="332"/>
      <c r="F143" s="304"/>
      <c r="G143" s="306"/>
      <c r="H143" s="306"/>
      <c r="I143" s="306"/>
      <c r="J143" s="306"/>
      <c r="K143" s="306">
        <f>SUM(J144:J175)</f>
        <v>129096.4</v>
      </c>
      <c r="L143" s="264"/>
    </row>
    <row r="144" spans="2:14" ht="15" customHeight="1">
      <c r="B144" s="265">
        <v>88500</v>
      </c>
      <c r="C144" s="332" t="s">
        <v>580</v>
      </c>
      <c r="D144" s="263" t="s">
        <v>579</v>
      </c>
      <c r="E144" s="308" t="s">
        <v>55</v>
      </c>
      <c r="F144" s="304">
        <v>4</v>
      </c>
      <c r="G144" s="306">
        <v>3050</v>
      </c>
      <c r="H144" s="306">
        <f>G144*F144</f>
        <v>12200</v>
      </c>
      <c r="I144" s="306">
        <f>G144*(1+$K$9)</f>
        <v>3807.01</v>
      </c>
      <c r="J144" s="306">
        <f>I144*F144</f>
        <v>15228.04</v>
      </c>
      <c r="K144" s="252"/>
      <c r="L144" s="264">
        <f>SUM(J144:J175)</f>
        <v>129096.4</v>
      </c>
    </row>
    <row r="145" spans="2:12">
      <c r="B145" s="265">
        <v>88500</v>
      </c>
      <c r="C145" s="332" t="s">
        <v>582</v>
      </c>
      <c r="D145" s="263" t="s">
        <v>931</v>
      </c>
      <c r="E145" s="308" t="s">
        <v>55</v>
      </c>
      <c r="F145" s="304">
        <v>2</v>
      </c>
      <c r="G145" s="306">
        <v>500</v>
      </c>
      <c r="H145" s="306">
        <f t="shared" ref="H145" si="115">G145*F145</f>
        <v>1000</v>
      </c>
      <c r="I145" s="306">
        <f t="shared" ref="I145" si="116">G145*(1+$K$9)</f>
        <v>624.1</v>
      </c>
      <c r="J145" s="306">
        <f t="shared" ref="J145" si="117">I145*F145</f>
        <v>1248.2</v>
      </c>
      <c r="K145" s="306"/>
      <c r="L145" s="264"/>
    </row>
    <row r="146" spans="2:12" ht="15" customHeight="1">
      <c r="B146" s="252"/>
      <c r="D146" s="267" t="s">
        <v>112</v>
      </c>
      <c r="F146" s="252"/>
      <c r="G146" s="252"/>
      <c r="H146" s="252"/>
      <c r="I146" s="252"/>
      <c r="J146" s="252"/>
      <c r="K146" s="306"/>
      <c r="L146" s="264"/>
    </row>
    <row r="147" spans="2:12" ht="15" customHeight="1">
      <c r="B147" s="265"/>
      <c r="C147" s="338"/>
      <c r="D147" s="263" t="s">
        <v>113</v>
      </c>
      <c r="E147" s="308"/>
      <c r="F147" s="304"/>
      <c r="G147" s="306"/>
      <c r="H147" s="306"/>
      <c r="I147" s="306"/>
      <c r="J147" s="306"/>
      <c r="K147" s="306"/>
      <c r="L147" s="264"/>
    </row>
    <row r="148" spans="2:12" ht="15" customHeight="1">
      <c r="B148" s="265"/>
      <c r="C148" s="338"/>
      <c r="E148" s="342"/>
      <c r="F148" s="304"/>
      <c r="G148" s="364"/>
      <c r="H148" s="306"/>
      <c r="I148" s="306"/>
      <c r="J148" s="306"/>
      <c r="K148" s="306"/>
      <c r="L148" s="264"/>
    </row>
    <row r="149" spans="2:12">
      <c r="B149" s="265"/>
      <c r="C149" s="338"/>
      <c r="D149" s="263" t="s">
        <v>44</v>
      </c>
      <c r="E149" s="342"/>
      <c r="F149" s="304"/>
      <c r="G149" s="364"/>
      <c r="H149" s="306"/>
      <c r="I149" s="306"/>
      <c r="J149" s="306"/>
      <c r="K149" s="306"/>
      <c r="L149" s="264"/>
    </row>
    <row r="150" spans="2:12">
      <c r="B150" s="265">
        <v>89356</v>
      </c>
      <c r="C150" s="338" t="s">
        <v>582</v>
      </c>
      <c r="D150" s="263" t="s">
        <v>114</v>
      </c>
      <c r="E150" s="342" t="s">
        <v>3</v>
      </c>
      <c r="F150" s="304">
        <v>220</v>
      </c>
      <c r="G150" s="364">
        <v>16.510000000000002</v>
      </c>
      <c r="H150" s="306">
        <f t="shared" ref="H150:H167" si="118">G150*F150</f>
        <v>3632.2</v>
      </c>
      <c r="I150" s="306">
        <f t="shared" ref="I150:I167" si="119">G150*(1+$K$9)</f>
        <v>20.61</v>
      </c>
      <c r="J150" s="306">
        <f t="shared" si="73"/>
        <v>4534.2</v>
      </c>
      <c r="K150" s="306"/>
      <c r="L150" s="264"/>
    </row>
    <row r="151" spans="2:12">
      <c r="B151" s="265"/>
      <c r="C151" s="332"/>
      <c r="D151" s="263" t="s">
        <v>249</v>
      </c>
      <c r="E151" s="342"/>
      <c r="F151" s="310"/>
      <c r="G151" s="306"/>
      <c r="H151" s="306"/>
      <c r="I151" s="306"/>
      <c r="J151" s="306"/>
      <c r="K151" s="306"/>
      <c r="L151" s="264"/>
    </row>
    <row r="152" spans="2:12">
      <c r="B152" s="265"/>
      <c r="C152" s="332" t="s">
        <v>583</v>
      </c>
      <c r="D152" s="263" t="s">
        <v>250</v>
      </c>
      <c r="E152" s="342" t="s">
        <v>6</v>
      </c>
      <c r="F152" s="310">
        <v>6</v>
      </c>
      <c r="G152" s="306">
        <v>600</v>
      </c>
      <c r="H152" s="306">
        <f t="shared" si="118"/>
        <v>3600</v>
      </c>
      <c r="I152" s="306">
        <f t="shared" si="119"/>
        <v>748.92</v>
      </c>
      <c r="J152" s="306">
        <f t="shared" si="73"/>
        <v>4493.5200000000004</v>
      </c>
      <c r="K152" s="306"/>
      <c r="L152" s="264"/>
    </row>
    <row r="153" spans="2:12">
      <c r="B153" s="265"/>
      <c r="C153" s="332"/>
      <c r="D153" s="263" t="s">
        <v>115</v>
      </c>
      <c r="E153" s="342"/>
      <c r="F153" s="310"/>
      <c r="G153" s="306"/>
      <c r="H153" s="306">
        <f t="shared" si="118"/>
        <v>0</v>
      </c>
      <c r="I153" s="306">
        <f t="shared" si="119"/>
        <v>0</v>
      </c>
      <c r="J153" s="306">
        <f t="shared" si="73"/>
        <v>0</v>
      </c>
      <c r="K153" s="306"/>
      <c r="L153" s="264"/>
    </row>
    <row r="154" spans="2:12" ht="25.5">
      <c r="B154" s="265">
        <v>9535</v>
      </c>
      <c r="C154" s="332" t="s">
        <v>584</v>
      </c>
      <c r="D154" s="263" t="s">
        <v>117</v>
      </c>
      <c r="E154" s="342" t="s">
        <v>6</v>
      </c>
      <c r="F154" s="310">
        <v>12</v>
      </c>
      <c r="G154" s="306">
        <v>61.93</v>
      </c>
      <c r="H154" s="306">
        <f t="shared" si="118"/>
        <v>743.16</v>
      </c>
      <c r="I154" s="306">
        <f t="shared" si="119"/>
        <v>77.3</v>
      </c>
      <c r="J154" s="306">
        <f t="shared" si="73"/>
        <v>927.6</v>
      </c>
      <c r="K154" s="306"/>
      <c r="L154" s="264"/>
    </row>
    <row r="155" spans="2:12" ht="21" customHeight="1">
      <c r="B155" s="265"/>
      <c r="C155" s="332" t="s">
        <v>585</v>
      </c>
      <c r="D155" s="263" t="s">
        <v>797</v>
      </c>
      <c r="E155" s="342" t="s">
        <v>6</v>
      </c>
      <c r="F155" s="310">
        <v>2</v>
      </c>
      <c r="G155" s="306">
        <v>2000</v>
      </c>
      <c r="H155" s="306">
        <f t="shared" si="118"/>
        <v>4000</v>
      </c>
      <c r="I155" s="306">
        <f t="shared" si="119"/>
        <v>2496.4</v>
      </c>
      <c r="J155" s="306">
        <f t="shared" si="73"/>
        <v>4992.8</v>
      </c>
      <c r="K155" s="306"/>
      <c r="L155" s="264"/>
    </row>
    <row r="156" spans="2:12" ht="25.5">
      <c r="B156" s="265">
        <v>86914</v>
      </c>
      <c r="C156" s="332" t="s">
        <v>586</v>
      </c>
      <c r="D156" s="263" t="s">
        <v>255</v>
      </c>
      <c r="E156" s="342" t="s">
        <v>6</v>
      </c>
      <c r="F156" s="310">
        <v>30</v>
      </c>
      <c r="G156" s="306">
        <v>30</v>
      </c>
      <c r="H156" s="306">
        <f t="shared" si="118"/>
        <v>900</v>
      </c>
      <c r="I156" s="306">
        <f t="shared" si="119"/>
        <v>37.450000000000003</v>
      </c>
      <c r="J156" s="306">
        <f t="shared" si="73"/>
        <v>1123.5</v>
      </c>
      <c r="K156" s="306"/>
      <c r="L156" s="264"/>
    </row>
    <row r="157" spans="2:12" ht="38.25">
      <c r="B157" s="265">
        <v>86931</v>
      </c>
      <c r="C157" s="332" t="s">
        <v>587</v>
      </c>
      <c r="D157" s="263" t="s">
        <v>118</v>
      </c>
      <c r="E157" s="342" t="s">
        <v>6</v>
      </c>
      <c r="F157" s="310">
        <v>48</v>
      </c>
      <c r="G157" s="306">
        <v>380</v>
      </c>
      <c r="H157" s="306">
        <f t="shared" si="118"/>
        <v>18240</v>
      </c>
      <c r="I157" s="306">
        <f t="shared" si="119"/>
        <v>474.32</v>
      </c>
      <c r="J157" s="306">
        <f t="shared" si="73"/>
        <v>22767.360000000001</v>
      </c>
      <c r="K157" s="306"/>
      <c r="L157" s="264"/>
    </row>
    <row r="158" spans="2:12" ht="38.25">
      <c r="B158" s="265">
        <v>86895</v>
      </c>
      <c r="C158" s="332" t="s">
        <v>588</v>
      </c>
      <c r="D158" s="263" t="s">
        <v>256</v>
      </c>
      <c r="E158" s="342" t="s">
        <v>6</v>
      </c>
      <c r="F158" s="304">
        <v>8</v>
      </c>
      <c r="G158" s="306">
        <v>350</v>
      </c>
      <c r="H158" s="306">
        <f t="shared" si="118"/>
        <v>2800</v>
      </c>
      <c r="I158" s="306">
        <f t="shared" si="119"/>
        <v>436.87</v>
      </c>
      <c r="J158" s="306">
        <f t="shared" si="73"/>
        <v>3494.96</v>
      </c>
      <c r="K158" s="306"/>
      <c r="L158" s="264"/>
    </row>
    <row r="159" spans="2:12" ht="38.25">
      <c r="B159" s="265">
        <v>86899</v>
      </c>
      <c r="C159" s="332" t="s">
        <v>589</v>
      </c>
      <c r="D159" s="263" t="s">
        <v>257</v>
      </c>
      <c r="E159" s="342" t="s">
        <v>6</v>
      </c>
      <c r="F159" s="304">
        <v>10</v>
      </c>
      <c r="G159" s="306">
        <v>700</v>
      </c>
      <c r="H159" s="306">
        <f t="shared" ref="H159" si="120">G159*F159</f>
        <v>7000</v>
      </c>
      <c r="I159" s="306">
        <f t="shared" ref="I159" si="121">G159*(1+$K$9)</f>
        <v>873.74</v>
      </c>
      <c r="J159" s="306">
        <f t="shared" ref="J159" si="122">I159*F159</f>
        <v>8737.4</v>
      </c>
      <c r="K159" s="306"/>
      <c r="L159" s="264"/>
    </row>
    <row r="160" spans="2:12">
      <c r="B160" s="265">
        <v>86893</v>
      </c>
      <c r="C160" s="332" t="s">
        <v>590</v>
      </c>
      <c r="D160" s="263" t="s">
        <v>251</v>
      </c>
      <c r="E160" s="342" t="s">
        <v>252</v>
      </c>
      <c r="F160" s="310">
        <v>4</v>
      </c>
      <c r="G160" s="306">
        <v>700</v>
      </c>
      <c r="H160" s="306">
        <f t="shared" ref="H160" si="123">G160*F160</f>
        <v>2800</v>
      </c>
      <c r="I160" s="306">
        <f t="shared" ref="I160" si="124">G160*(1+$K$9)</f>
        <v>873.74</v>
      </c>
      <c r="J160" s="306">
        <f t="shared" ref="J160" si="125">I160*F160</f>
        <v>3494.96</v>
      </c>
      <c r="K160" s="306"/>
      <c r="L160" s="264"/>
    </row>
    <row r="161" spans="2:12" ht="25.5">
      <c r="B161" s="265"/>
      <c r="C161" s="332" t="s">
        <v>591</v>
      </c>
      <c r="D161" s="263" t="s">
        <v>253</v>
      </c>
      <c r="E161" s="342" t="s">
        <v>252</v>
      </c>
      <c r="F161" s="304">
        <v>33</v>
      </c>
      <c r="G161" s="306">
        <v>700</v>
      </c>
      <c r="H161" s="306">
        <f t="shared" ref="H161:H162" si="126">G161*F161</f>
        <v>23100</v>
      </c>
      <c r="I161" s="306">
        <f t="shared" ref="I161:I162" si="127">G161*(1+$K$9)</f>
        <v>873.74</v>
      </c>
      <c r="J161" s="306">
        <f t="shared" ref="J161:J162" si="128">I161*F161</f>
        <v>28833.42</v>
      </c>
      <c r="K161" s="306"/>
      <c r="L161" s="264"/>
    </row>
    <row r="162" spans="2:12" ht="25.5">
      <c r="B162" s="265"/>
      <c r="C162" s="332" t="s">
        <v>592</v>
      </c>
      <c r="D162" s="263" t="s">
        <v>254</v>
      </c>
      <c r="E162" s="342" t="s">
        <v>252</v>
      </c>
      <c r="F162" s="304">
        <v>7</v>
      </c>
      <c r="G162" s="306">
        <v>1200</v>
      </c>
      <c r="H162" s="306">
        <f t="shared" si="126"/>
        <v>8400</v>
      </c>
      <c r="I162" s="306">
        <f t="shared" si="127"/>
        <v>1497.84</v>
      </c>
      <c r="J162" s="306">
        <f t="shared" si="128"/>
        <v>10484.879999999999</v>
      </c>
      <c r="K162" s="306"/>
      <c r="L162" s="264"/>
    </row>
    <row r="163" spans="2:12">
      <c r="B163" s="265"/>
      <c r="C163" s="332"/>
      <c r="D163" s="263" t="s">
        <v>116</v>
      </c>
      <c r="E163" s="342"/>
      <c r="F163" s="310"/>
      <c r="G163" s="306"/>
      <c r="H163" s="306"/>
      <c r="I163" s="306"/>
      <c r="J163" s="306"/>
      <c r="K163" s="306"/>
      <c r="L163" s="264"/>
    </row>
    <row r="164" spans="2:12" ht="38.25">
      <c r="B164" s="265">
        <v>89972</v>
      </c>
      <c r="C164" s="268" t="s">
        <v>592</v>
      </c>
      <c r="D164" s="263" t="s">
        <v>119</v>
      </c>
      <c r="E164" s="342" t="s">
        <v>252</v>
      </c>
      <c r="F164" s="310">
        <v>27</v>
      </c>
      <c r="G164" s="306">
        <v>36.93</v>
      </c>
      <c r="H164" s="306">
        <f t="shared" si="118"/>
        <v>997.11</v>
      </c>
      <c r="I164" s="306">
        <f t="shared" si="119"/>
        <v>46.1</v>
      </c>
      <c r="J164" s="306">
        <f t="shared" si="73"/>
        <v>1244.7</v>
      </c>
      <c r="K164" s="306"/>
      <c r="L164" s="264"/>
    </row>
    <row r="165" spans="2:12" ht="38.25">
      <c r="B165" s="265">
        <v>89984</v>
      </c>
      <c r="C165" s="268" t="s">
        <v>593</v>
      </c>
      <c r="D165" s="263" t="s">
        <v>120</v>
      </c>
      <c r="E165" s="342" t="s">
        <v>252</v>
      </c>
      <c r="F165" s="310">
        <v>12</v>
      </c>
      <c r="G165" s="306">
        <v>52.76</v>
      </c>
      <c r="H165" s="306">
        <f t="shared" si="118"/>
        <v>633.12</v>
      </c>
      <c r="I165" s="306">
        <f t="shared" si="119"/>
        <v>65.86</v>
      </c>
      <c r="J165" s="306">
        <f t="shared" si="73"/>
        <v>790.32</v>
      </c>
      <c r="K165" s="306"/>
      <c r="L165" s="264"/>
    </row>
    <row r="166" spans="2:12" ht="38.25">
      <c r="B166" s="265">
        <v>89987</v>
      </c>
      <c r="C166" s="268" t="s">
        <v>594</v>
      </c>
      <c r="D166" s="263" t="s">
        <v>121</v>
      </c>
      <c r="E166" s="342" t="s">
        <v>252</v>
      </c>
      <c r="F166" s="310">
        <v>15</v>
      </c>
      <c r="G166" s="306">
        <v>56.84</v>
      </c>
      <c r="H166" s="306">
        <f t="shared" si="118"/>
        <v>852.6</v>
      </c>
      <c r="I166" s="306">
        <f t="shared" si="119"/>
        <v>70.95</v>
      </c>
      <c r="J166" s="306">
        <f t="shared" si="73"/>
        <v>1064.25</v>
      </c>
      <c r="K166" s="306"/>
      <c r="L166" s="264"/>
    </row>
    <row r="167" spans="2:12" ht="38.25">
      <c r="B167" s="265">
        <v>94497</v>
      </c>
      <c r="C167" s="268" t="s">
        <v>595</v>
      </c>
      <c r="D167" s="263" t="s">
        <v>122</v>
      </c>
      <c r="E167" s="342" t="s">
        <v>252</v>
      </c>
      <c r="F167" s="310">
        <v>48</v>
      </c>
      <c r="G167" s="306">
        <v>81.69</v>
      </c>
      <c r="H167" s="306">
        <f t="shared" si="118"/>
        <v>3921.12</v>
      </c>
      <c r="I167" s="306">
        <f t="shared" si="119"/>
        <v>101.97</v>
      </c>
      <c r="J167" s="306">
        <f t="shared" si="73"/>
        <v>4894.5600000000004</v>
      </c>
      <c r="K167" s="306"/>
      <c r="L167" s="264"/>
    </row>
    <row r="168" spans="2:12" ht="38.25">
      <c r="B168" s="265">
        <v>93059</v>
      </c>
      <c r="C168" s="268" t="s">
        <v>596</v>
      </c>
      <c r="D168" s="263" t="s">
        <v>123</v>
      </c>
      <c r="E168" s="342" t="s">
        <v>252</v>
      </c>
      <c r="F168" s="310">
        <v>48</v>
      </c>
      <c r="G168" s="306">
        <v>14.29</v>
      </c>
      <c r="H168" s="306">
        <f t="shared" ref="H168" si="129">G168*F168</f>
        <v>685.92</v>
      </c>
      <c r="I168" s="306">
        <f t="shared" ref="I168" si="130">G168*(1+$K$9)</f>
        <v>17.84</v>
      </c>
      <c r="J168" s="306">
        <f t="shared" ref="J168" si="131">I168*F168</f>
        <v>856.32</v>
      </c>
      <c r="K168" s="306"/>
      <c r="L168" s="264"/>
    </row>
    <row r="169" spans="2:12" ht="25.5">
      <c r="B169" s="265">
        <v>89362</v>
      </c>
      <c r="C169" s="268" t="s">
        <v>597</v>
      </c>
      <c r="D169" s="263" t="s">
        <v>124</v>
      </c>
      <c r="E169" s="342" t="s">
        <v>252</v>
      </c>
      <c r="F169" s="304">
        <v>19</v>
      </c>
      <c r="G169" s="306">
        <v>7.08</v>
      </c>
      <c r="H169" s="306">
        <f t="shared" ref="H169:H173" si="132">G169*F169</f>
        <v>134.52000000000001</v>
      </c>
      <c r="I169" s="306">
        <f t="shared" ref="I169:I173" si="133">G169*(1+$K$9)</f>
        <v>8.84</v>
      </c>
      <c r="J169" s="306">
        <f t="shared" si="73"/>
        <v>167.96</v>
      </c>
      <c r="K169" s="306"/>
      <c r="L169" s="264"/>
    </row>
    <row r="170" spans="2:12" ht="25.5">
      <c r="B170" s="265">
        <v>89362</v>
      </c>
      <c r="C170" s="268" t="s">
        <v>598</v>
      </c>
      <c r="D170" s="263" t="s">
        <v>125</v>
      </c>
      <c r="E170" s="342" t="s">
        <v>252</v>
      </c>
      <c r="F170" s="304">
        <v>172</v>
      </c>
      <c r="G170" s="306">
        <v>7.08</v>
      </c>
      <c r="H170" s="306">
        <f t="shared" si="132"/>
        <v>1217.76</v>
      </c>
      <c r="I170" s="306">
        <f t="shared" si="133"/>
        <v>8.84</v>
      </c>
      <c r="J170" s="306">
        <f t="shared" si="73"/>
        <v>1520.48</v>
      </c>
      <c r="K170" s="306"/>
      <c r="L170" s="264"/>
    </row>
    <row r="171" spans="2:12" ht="25.5">
      <c r="B171" s="265">
        <v>89449</v>
      </c>
      <c r="C171" s="268" t="s">
        <v>599</v>
      </c>
      <c r="D171" s="263" t="s">
        <v>126</v>
      </c>
      <c r="E171" s="342" t="s">
        <v>3</v>
      </c>
      <c r="F171" s="304">
        <v>270</v>
      </c>
      <c r="G171" s="306">
        <v>10.78</v>
      </c>
      <c r="H171" s="306">
        <f t="shared" si="132"/>
        <v>2910.6</v>
      </c>
      <c r="I171" s="306">
        <f t="shared" si="133"/>
        <v>13.46</v>
      </c>
      <c r="J171" s="306">
        <f t="shared" si="73"/>
        <v>3634.2</v>
      </c>
      <c r="K171" s="306"/>
      <c r="L171" s="264"/>
    </row>
    <row r="172" spans="2:12" ht="25.5">
      <c r="B172" s="265">
        <v>89446</v>
      </c>
      <c r="C172" s="268" t="s">
        <v>600</v>
      </c>
      <c r="D172" s="263" t="s">
        <v>127</v>
      </c>
      <c r="E172" s="342" t="s">
        <v>3</v>
      </c>
      <c r="F172" s="304">
        <v>750</v>
      </c>
      <c r="G172" s="306">
        <v>3.11</v>
      </c>
      <c r="H172" s="306">
        <f t="shared" si="132"/>
        <v>2332.5</v>
      </c>
      <c r="I172" s="306">
        <f t="shared" si="133"/>
        <v>3.88</v>
      </c>
      <c r="J172" s="306">
        <f t="shared" si="73"/>
        <v>2910</v>
      </c>
      <c r="K172" s="306"/>
      <c r="L172" s="264"/>
    </row>
    <row r="173" spans="2:12" ht="38.25">
      <c r="B173" s="265">
        <v>89445</v>
      </c>
      <c r="C173" s="268" t="s">
        <v>601</v>
      </c>
      <c r="D173" s="263" t="s">
        <v>128</v>
      </c>
      <c r="E173" s="342" t="s">
        <v>252</v>
      </c>
      <c r="F173" s="310">
        <v>30</v>
      </c>
      <c r="G173" s="306">
        <v>12.18</v>
      </c>
      <c r="H173" s="306">
        <f t="shared" si="132"/>
        <v>365.4</v>
      </c>
      <c r="I173" s="306">
        <f t="shared" si="133"/>
        <v>15.2</v>
      </c>
      <c r="J173" s="306">
        <f t="shared" si="73"/>
        <v>456</v>
      </c>
      <c r="K173" s="306"/>
      <c r="L173" s="264"/>
    </row>
    <row r="174" spans="2:12" ht="38.25">
      <c r="B174" s="365">
        <v>93121</v>
      </c>
      <c r="C174" s="268" t="s">
        <v>602</v>
      </c>
      <c r="D174" s="263" t="s">
        <v>129</v>
      </c>
      <c r="E174" s="342" t="s">
        <v>252</v>
      </c>
      <c r="F174" s="310">
        <v>35</v>
      </c>
      <c r="G174" s="306">
        <v>15</v>
      </c>
      <c r="H174" s="306">
        <f t="shared" ref="H174:H225" si="134">G174*F174</f>
        <v>525</v>
      </c>
      <c r="I174" s="306">
        <f t="shared" ref="I174:I225" si="135">G174*(1+$K$9)</f>
        <v>18.72</v>
      </c>
      <c r="J174" s="306">
        <f t="shared" si="73"/>
        <v>655.20000000000005</v>
      </c>
      <c r="K174" s="306"/>
      <c r="L174" s="264"/>
    </row>
    <row r="175" spans="2:12" ht="38.25">
      <c r="B175" s="365">
        <v>93121</v>
      </c>
      <c r="C175" s="268" t="s">
        <v>603</v>
      </c>
      <c r="D175" s="263" t="s">
        <v>130</v>
      </c>
      <c r="E175" s="342">
        <v>31</v>
      </c>
      <c r="F175" s="310">
        <v>31</v>
      </c>
      <c r="G175" s="306">
        <v>14</v>
      </c>
      <c r="H175" s="306">
        <f t="shared" si="134"/>
        <v>434</v>
      </c>
      <c r="I175" s="306">
        <f t="shared" si="135"/>
        <v>17.47</v>
      </c>
      <c r="J175" s="306">
        <f t="shared" ref="J175:J225" si="136">I175*F175</f>
        <v>541.57000000000005</v>
      </c>
      <c r="K175" s="306"/>
      <c r="L175" s="264"/>
    </row>
    <row r="176" spans="2:12">
      <c r="B176" s="365"/>
      <c r="C176" s="268"/>
      <c r="D176" s="263"/>
      <c r="E176" s="342"/>
      <c r="F176" s="310"/>
      <c r="G176" s="306"/>
      <c r="H176" s="306"/>
      <c r="I176" s="306"/>
      <c r="J176" s="306"/>
      <c r="K176" s="306"/>
      <c r="L176" s="264"/>
    </row>
    <row r="177" spans="2:12">
      <c r="B177" s="265"/>
      <c r="C177" s="332">
        <v>13</v>
      </c>
      <c r="D177" s="263" t="s">
        <v>131</v>
      </c>
      <c r="E177" s="342"/>
      <c r="F177" s="310"/>
      <c r="G177" s="306"/>
      <c r="H177" s="306"/>
      <c r="I177" s="306"/>
      <c r="J177" s="306"/>
      <c r="K177" s="306">
        <f>SUM(J179:J202)</f>
        <v>63291.37</v>
      </c>
      <c r="L177" s="264"/>
    </row>
    <row r="178" spans="2:12">
      <c r="B178" s="265"/>
      <c r="D178" s="263" t="s">
        <v>132</v>
      </c>
      <c r="E178" s="332"/>
      <c r="F178" s="310"/>
      <c r="G178" s="306"/>
      <c r="H178" s="306"/>
      <c r="I178" s="306"/>
      <c r="J178" s="306"/>
      <c r="K178" s="252"/>
      <c r="L178" s="264">
        <f>SUM(J179:J200)</f>
        <v>63291.37</v>
      </c>
    </row>
    <row r="179" spans="2:12">
      <c r="B179" s="265"/>
      <c r="C179" s="332"/>
      <c r="E179" s="342"/>
      <c r="F179" s="310"/>
      <c r="G179" s="306"/>
      <c r="H179" s="306"/>
      <c r="I179" s="306"/>
      <c r="J179" s="306"/>
      <c r="K179" s="306"/>
      <c r="L179" s="264"/>
    </row>
    <row r="180" spans="2:12" ht="38.25">
      <c r="B180" s="265">
        <v>92937</v>
      </c>
      <c r="C180" s="332" t="s">
        <v>604</v>
      </c>
      <c r="D180" s="263" t="s">
        <v>137</v>
      </c>
      <c r="E180" s="342" t="s">
        <v>6</v>
      </c>
      <c r="F180" s="310">
        <v>1</v>
      </c>
      <c r="G180" s="306">
        <v>91.5</v>
      </c>
      <c r="H180" s="306">
        <f t="shared" si="134"/>
        <v>91.5</v>
      </c>
      <c r="I180" s="306">
        <f t="shared" si="135"/>
        <v>114.21</v>
      </c>
      <c r="J180" s="306">
        <f t="shared" si="136"/>
        <v>114.21</v>
      </c>
      <c r="K180" s="306"/>
      <c r="L180" s="264"/>
    </row>
    <row r="181" spans="2:12" ht="38.25">
      <c r="B181" s="265">
        <v>92390</v>
      </c>
      <c r="C181" s="332" t="s">
        <v>605</v>
      </c>
      <c r="D181" s="263" t="s">
        <v>138</v>
      </c>
      <c r="E181" s="342" t="s">
        <v>6</v>
      </c>
      <c r="F181" s="310">
        <v>4</v>
      </c>
      <c r="G181" s="306">
        <v>94.05</v>
      </c>
      <c r="H181" s="306">
        <f t="shared" si="134"/>
        <v>376.2</v>
      </c>
      <c r="I181" s="306">
        <f t="shared" si="135"/>
        <v>117.39</v>
      </c>
      <c r="J181" s="306">
        <f t="shared" si="136"/>
        <v>469.56</v>
      </c>
      <c r="K181" s="306"/>
      <c r="L181" s="264"/>
    </row>
    <row r="182" spans="2:12" ht="38.25">
      <c r="B182" s="265">
        <v>92635</v>
      </c>
      <c r="C182" s="332" t="s">
        <v>606</v>
      </c>
      <c r="D182" s="263" t="s">
        <v>139</v>
      </c>
      <c r="E182" s="342" t="s">
        <v>6</v>
      </c>
      <c r="F182" s="310">
        <v>23</v>
      </c>
      <c r="G182" s="306">
        <v>131.85</v>
      </c>
      <c r="H182" s="306">
        <f t="shared" si="134"/>
        <v>3032.55</v>
      </c>
      <c r="I182" s="306">
        <f t="shared" si="135"/>
        <v>164.58</v>
      </c>
      <c r="J182" s="306">
        <f t="shared" si="136"/>
        <v>3785.34</v>
      </c>
      <c r="K182" s="306"/>
      <c r="L182" s="264"/>
    </row>
    <row r="183" spans="2:12" ht="38.25">
      <c r="B183" s="265">
        <v>92390</v>
      </c>
      <c r="C183" s="332" t="s">
        <v>607</v>
      </c>
      <c r="D183" s="263" t="s">
        <v>140</v>
      </c>
      <c r="E183" s="342" t="s">
        <v>6</v>
      </c>
      <c r="F183" s="310">
        <v>4</v>
      </c>
      <c r="G183" s="306">
        <v>100</v>
      </c>
      <c r="H183" s="306">
        <f t="shared" si="134"/>
        <v>400</v>
      </c>
      <c r="I183" s="306">
        <f t="shared" si="135"/>
        <v>124.82</v>
      </c>
      <c r="J183" s="306">
        <f t="shared" si="136"/>
        <v>499.28</v>
      </c>
      <c r="K183" s="306"/>
      <c r="L183" s="264"/>
    </row>
    <row r="184" spans="2:12" ht="38.25">
      <c r="B184" s="265">
        <v>92368</v>
      </c>
      <c r="C184" s="332" t="s">
        <v>608</v>
      </c>
      <c r="D184" s="373" t="s">
        <v>141</v>
      </c>
      <c r="E184" s="342" t="s">
        <v>3</v>
      </c>
      <c r="F184" s="304">
        <v>293</v>
      </c>
      <c r="G184" s="306">
        <v>67.849999999999994</v>
      </c>
      <c r="H184" s="306">
        <f t="shared" si="134"/>
        <v>19880.05</v>
      </c>
      <c r="I184" s="306">
        <f t="shared" si="135"/>
        <v>84.69</v>
      </c>
      <c r="J184" s="306">
        <f t="shared" si="136"/>
        <v>24814.17</v>
      </c>
      <c r="K184" s="306"/>
      <c r="L184" s="264"/>
    </row>
    <row r="185" spans="2:12" ht="38.25">
      <c r="B185" s="265">
        <v>92367</v>
      </c>
      <c r="C185" s="332" t="s">
        <v>609</v>
      </c>
      <c r="D185" s="263" t="s">
        <v>142</v>
      </c>
      <c r="E185" s="342" t="s">
        <v>3</v>
      </c>
      <c r="F185" s="304">
        <v>15</v>
      </c>
      <c r="G185" s="306">
        <v>51.92</v>
      </c>
      <c r="H185" s="306">
        <f t="shared" si="134"/>
        <v>778.8</v>
      </c>
      <c r="I185" s="306">
        <f t="shared" si="135"/>
        <v>64.81</v>
      </c>
      <c r="J185" s="306">
        <f t="shared" si="136"/>
        <v>972.15</v>
      </c>
      <c r="K185" s="306"/>
      <c r="L185" s="264"/>
    </row>
    <row r="186" spans="2:12" ht="38.25">
      <c r="B186" s="265">
        <v>92644</v>
      </c>
      <c r="C186" s="332" t="s">
        <v>610</v>
      </c>
      <c r="D186" s="263" t="s">
        <v>143</v>
      </c>
      <c r="E186" s="342" t="s">
        <v>6</v>
      </c>
      <c r="F186" s="304">
        <v>8</v>
      </c>
      <c r="G186" s="306">
        <v>159.88</v>
      </c>
      <c r="H186" s="306">
        <f t="shared" si="134"/>
        <v>1279.04</v>
      </c>
      <c r="I186" s="306">
        <f t="shared" si="135"/>
        <v>199.56</v>
      </c>
      <c r="J186" s="306">
        <f t="shared" si="136"/>
        <v>1596.48</v>
      </c>
      <c r="K186" s="306"/>
      <c r="L186" s="264"/>
    </row>
    <row r="187" spans="2:12">
      <c r="B187" s="265"/>
      <c r="C187" s="332"/>
      <c r="D187" s="263" t="s">
        <v>134</v>
      </c>
      <c r="E187" s="342"/>
      <c r="F187" s="310"/>
      <c r="G187" s="306"/>
      <c r="H187" s="306">
        <f t="shared" si="134"/>
        <v>0</v>
      </c>
      <c r="I187" s="306">
        <f t="shared" si="135"/>
        <v>0</v>
      </c>
      <c r="J187" s="306">
        <f t="shared" si="136"/>
        <v>0</v>
      </c>
      <c r="K187" s="306"/>
      <c r="L187" s="264"/>
    </row>
    <row r="188" spans="2:12">
      <c r="B188" s="265"/>
      <c r="C188" s="332"/>
      <c r="D188" s="263" t="s">
        <v>135</v>
      </c>
      <c r="E188" s="342"/>
      <c r="F188" s="310"/>
      <c r="G188" s="306"/>
      <c r="H188" s="306">
        <f t="shared" si="134"/>
        <v>0</v>
      </c>
      <c r="I188" s="306">
        <f t="shared" si="135"/>
        <v>0</v>
      </c>
      <c r="J188" s="306">
        <f t="shared" si="136"/>
        <v>0</v>
      </c>
      <c r="K188" s="306"/>
      <c r="L188" s="264"/>
    </row>
    <row r="189" spans="2:12">
      <c r="B189" s="265" t="s">
        <v>144</v>
      </c>
      <c r="C189" s="268" t="s">
        <v>611</v>
      </c>
      <c r="D189" s="263" t="s">
        <v>581</v>
      </c>
      <c r="E189" s="342" t="s">
        <v>6</v>
      </c>
      <c r="F189" s="304">
        <v>2</v>
      </c>
      <c r="G189" s="306">
        <v>680.64</v>
      </c>
      <c r="H189" s="306">
        <f t="shared" si="134"/>
        <v>1361.28</v>
      </c>
      <c r="I189" s="306">
        <f t="shared" si="135"/>
        <v>849.57</v>
      </c>
      <c r="J189" s="306">
        <f t="shared" si="136"/>
        <v>1699.14</v>
      </c>
      <c r="K189" s="306"/>
      <c r="L189" s="264"/>
    </row>
    <row r="190" spans="2:12">
      <c r="B190" s="265"/>
      <c r="C190" s="332"/>
      <c r="D190" s="263" t="s">
        <v>136</v>
      </c>
      <c r="E190" s="342"/>
      <c r="F190" s="310"/>
      <c r="G190" s="306"/>
      <c r="H190" s="306">
        <f t="shared" si="134"/>
        <v>0</v>
      </c>
      <c r="I190" s="306">
        <f t="shared" si="135"/>
        <v>0</v>
      </c>
      <c r="J190" s="306">
        <f t="shared" si="136"/>
        <v>0</v>
      </c>
      <c r="K190" s="306"/>
      <c r="L190" s="264"/>
    </row>
    <row r="191" spans="2:12" ht="25.5">
      <c r="B191" s="265">
        <v>94475</v>
      </c>
      <c r="C191" s="332" t="s">
        <v>612</v>
      </c>
      <c r="D191" s="263" t="s">
        <v>146</v>
      </c>
      <c r="E191" s="342" t="s">
        <v>6</v>
      </c>
      <c r="F191" s="310">
        <v>2</v>
      </c>
      <c r="G191" s="306">
        <v>98.51</v>
      </c>
      <c r="H191" s="306">
        <f t="shared" si="134"/>
        <v>197.02</v>
      </c>
      <c r="I191" s="306">
        <f t="shared" si="135"/>
        <v>122.96</v>
      </c>
      <c r="J191" s="306">
        <f t="shared" si="136"/>
        <v>245.92</v>
      </c>
      <c r="K191" s="306"/>
      <c r="L191" s="264"/>
    </row>
    <row r="192" spans="2:12">
      <c r="B192" s="265"/>
      <c r="C192" s="332" t="s">
        <v>613</v>
      </c>
      <c r="D192" s="263" t="s">
        <v>38</v>
      </c>
      <c r="E192" s="332"/>
      <c r="F192" s="310"/>
      <c r="G192" s="306"/>
      <c r="H192" s="306">
        <f t="shared" si="134"/>
        <v>0</v>
      </c>
      <c r="I192" s="306">
        <f t="shared" si="135"/>
        <v>0</v>
      </c>
      <c r="J192" s="306">
        <f t="shared" si="136"/>
        <v>0</v>
      </c>
      <c r="K192" s="306"/>
      <c r="L192" s="264"/>
    </row>
    <row r="193" spans="2:14" ht="38.25">
      <c r="B193" s="265">
        <v>94466</v>
      </c>
      <c r="C193" s="332" t="s">
        <v>614</v>
      </c>
      <c r="D193" s="263" t="s">
        <v>145</v>
      </c>
      <c r="E193" s="342" t="s">
        <v>6</v>
      </c>
      <c r="F193" s="310">
        <v>2</v>
      </c>
      <c r="G193" s="306">
        <v>33.61</v>
      </c>
      <c r="H193" s="306">
        <f t="shared" si="134"/>
        <v>67.22</v>
      </c>
      <c r="I193" s="306">
        <f t="shared" si="135"/>
        <v>41.95</v>
      </c>
      <c r="J193" s="306">
        <f t="shared" si="136"/>
        <v>83.9</v>
      </c>
      <c r="K193" s="306"/>
      <c r="L193" s="264"/>
    </row>
    <row r="194" spans="2:14" ht="51">
      <c r="B194" s="265">
        <v>72283</v>
      </c>
      <c r="C194" s="332" t="s">
        <v>615</v>
      </c>
      <c r="D194" s="373" t="s">
        <v>147</v>
      </c>
      <c r="E194" s="342" t="s">
        <v>6</v>
      </c>
      <c r="F194" s="310">
        <v>10</v>
      </c>
      <c r="G194" s="306">
        <v>1015.05</v>
      </c>
      <c r="H194" s="306">
        <f t="shared" si="134"/>
        <v>10150.5</v>
      </c>
      <c r="I194" s="306">
        <f t="shared" si="135"/>
        <v>1266.99</v>
      </c>
      <c r="J194" s="306">
        <f t="shared" si="136"/>
        <v>12669.9</v>
      </c>
      <c r="K194" s="306"/>
      <c r="L194" s="264"/>
    </row>
    <row r="195" spans="2:14" ht="25.5">
      <c r="B195" s="265" t="s">
        <v>148</v>
      </c>
      <c r="C195" s="332" t="s">
        <v>616</v>
      </c>
      <c r="D195" s="263" t="s">
        <v>151</v>
      </c>
      <c r="E195" s="342" t="s">
        <v>6</v>
      </c>
      <c r="F195" s="310">
        <v>2</v>
      </c>
      <c r="G195" s="306">
        <v>517.28</v>
      </c>
      <c r="H195" s="306">
        <f t="shared" si="134"/>
        <v>1034.56</v>
      </c>
      <c r="I195" s="306">
        <f t="shared" si="135"/>
        <v>645.66999999999996</v>
      </c>
      <c r="J195" s="306">
        <f t="shared" si="136"/>
        <v>1291.3399999999999</v>
      </c>
      <c r="K195" s="306"/>
      <c r="L195" s="264"/>
    </row>
    <row r="196" spans="2:14" ht="25.5">
      <c r="B196" s="265" t="s">
        <v>149</v>
      </c>
      <c r="C196" s="332" t="s">
        <v>617</v>
      </c>
      <c r="D196" s="263" t="s">
        <v>150</v>
      </c>
      <c r="E196" s="342" t="s">
        <v>6</v>
      </c>
      <c r="F196" s="310">
        <v>2</v>
      </c>
      <c r="G196" s="306">
        <v>390</v>
      </c>
      <c r="H196" s="306">
        <f t="shared" si="134"/>
        <v>780</v>
      </c>
      <c r="I196" s="306">
        <f t="shared" si="135"/>
        <v>486.8</v>
      </c>
      <c r="J196" s="306">
        <f t="shared" si="136"/>
        <v>973.6</v>
      </c>
      <c r="K196" s="306"/>
      <c r="L196" s="264"/>
    </row>
    <row r="197" spans="2:14" ht="38.25">
      <c r="B197" s="365" t="s">
        <v>152</v>
      </c>
      <c r="C197" s="332" t="s">
        <v>618</v>
      </c>
      <c r="D197" s="273" t="s">
        <v>153</v>
      </c>
      <c r="E197" s="342" t="s">
        <v>6</v>
      </c>
      <c r="F197" s="304">
        <v>2</v>
      </c>
      <c r="G197" s="306">
        <v>278.63</v>
      </c>
      <c r="H197" s="306">
        <f t="shared" si="134"/>
        <v>557.26</v>
      </c>
      <c r="I197" s="306">
        <f t="shared" si="135"/>
        <v>347.79</v>
      </c>
      <c r="J197" s="306">
        <f t="shared" si="136"/>
        <v>695.58</v>
      </c>
      <c r="K197" s="306"/>
      <c r="L197" s="264"/>
    </row>
    <row r="198" spans="2:14">
      <c r="B198" s="365" t="s">
        <v>932</v>
      </c>
      <c r="C198" s="332"/>
      <c r="D198" s="273" t="s">
        <v>935</v>
      </c>
      <c r="E198" s="342" t="s">
        <v>6</v>
      </c>
      <c r="F198" s="304">
        <v>24</v>
      </c>
      <c r="G198" s="306">
        <v>130</v>
      </c>
      <c r="H198" s="306">
        <f t="shared" si="134"/>
        <v>3120</v>
      </c>
      <c r="I198" s="306">
        <f t="shared" si="135"/>
        <v>162.27000000000001</v>
      </c>
      <c r="J198" s="306">
        <f t="shared" si="136"/>
        <v>3894.48</v>
      </c>
      <c r="K198" s="306"/>
      <c r="L198" s="264"/>
    </row>
    <row r="199" spans="2:14" ht="25.5">
      <c r="B199" s="365" t="s">
        <v>933</v>
      </c>
      <c r="C199" s="332"/>
      <c r="D199" s="273" t="s">
        <v>934</v>
      </c>
      <c r="E199" s="342" t="s">
        <v>6</v>
      </c>
      <c r="F199" s="304">
        <v>24</v>
      </c>
      <c r="G199" s="306">
        <v>150</v>
      </c>
      <c r="H199" s="306">
        <f t="shared" ref="H199" si="137">G199*F199</f>
        <v>3600</v>
      </c>
      <c r="I199" s="306">
        <f t="shared" ref="I199" si="138">G199*(1+$K$9)</f>
        <v>187.23</v>
      </c>
      <c r="J199" s="306">
        <f t="shared" ref="J199" si="139">I199*F199</f>
        <v>4493.5200000000004</v>
      </c>
      <c r="K199" s="306"/>
      <c r="L199" s="264"/>
    </row>
    <row r="200" spans="2:14" ht="16.5">
      <c r="B200" s="365"/>
      <c r="C200" s="332"/>
      <c r="D200" s="273" t="s">
        <v>1082</v>
      </c>
      <c r="E200" s="342" t="s">
        <v>6</v>
      </c>
      <c r="F200" s="304">
        <v>20</v>
      </c>
      <c r="G200" s="306">
        <v>200</v>
      </c>
      <c r="H200" s="306">
        <f t="shared" ref="H200" si="140">G200*F200</f>
        <v>4000</v>
      </c>
      <c r="I200" s="306">
        <f t="shared" ref="I200" si="141">G200*(1+$K$9)</f>
        <v>249.64</v>
      </c>
      <c r="J200" s="306">
        <f t="shared" ref="J200" si="142">I200*F200</f>
        <v>4992.8</v>
      </c>
      <c r="K200" s="306"/>
      <c r="L200" s="264"/>
      <c r="N200" s="374"/>
    </row>
    <row r="201" spans="2:14">
      <c r="B201" s="365"/>
      <c r="C201" s="332"/>
      <c r="D201" s="273"/>
      <c r="E201" s="342"/>
      <c r="F201" s="304"/>
      <c r="G201" s="306"/>
      <c r="H201" s="306"/>
      <c r="I201" s="306"/>
      <c r="J201" s="306"/>
      <c r="K201" s="306"/>
      <c r="L201" s="264"/>
    </row>
    <row r="202" spans="2:14">
      <c r="B202" s="365"/>
      <c r="C202" s="332"/>
      <c r="E202" s="342"/>
      <c r="F202" s="304"/>
      <c r="G202" s="306"/>
      <c r="H202" s="306"/>
      <c r="I202" s="306"/>
      <c r="J202" s="306"/>
      <c r="K202" s="306"/>
      <c r="L202" s="264"/>
    </row>
    <row r="203" spans="2:14">
      <c r="B203" s="265"/>
      <c r="C203" s="332">
        <v>14</v>
      </c>
      <c r="D203" s="263" t="s">
        <v>154</v>
      </c>
      <c r="E203" s="342"/>
      <c r="F203" s="310"/>
      <c r="G203" s="306"/>
      <c r="H203" s="306"/>
      <c r="I203" s="306"/>
      <c r="J203" s="306"/>
      <c r="K203" s="306">
        <f>SUM(J204:J225)</f>
        <v>14117.51</v>
      </c>
      <c r="L203" s="264">
        <f>SUM(J204:J225)</f>
        <v>14117.51</v>
      </c>
    </row>
    <row r="204" spans="2:14">
      <c r="B204" s="265"/>
      <c r="C204" s="332"/>
      <c r="D204" s="263" t="s">
        <v>166</v>
      </c>
      <c r="E204" s="342"/>
      <c r="F204" s="310"/>
      <c r="G204" s="306"/>
      <c r="H204" s="306">
        <f t="shared" ref="H204:H207" si="143">G204*F204</f>
        <v>0</v>
      </c>
      <c r="I204" s="306">
        <f t="shared" ref="I204:I207" si="144">G204*(1+$K$9)</f>
        <v>0</v>
      </c>
      <c r="J204" s="306">
        <f t="shared" ref="J204:J216" si="145">I204*F204</f>
        <v>0</v>
      </c>
      <c r="K204" s="306"/>
      <c r="L204" s="264"/>
    </row>
    <row r="205" spans="2:14" ht="63.75">
      <c r="B205" s="265">
        <v>87509</v>
      </c>
      <c r="C205" s="332" t="s">
        <v>619</v>
      </c>
      <c r="D205" s="307" t="s">
        <v>81</v>
      </c>
      <c r="E205" s="300" t="s">
        <v>8</v>
      </c>
      <c r="F205" s="304">
        <v>8</v>
      </c>
      <c r="G205" s="364">
        <v>110.82</v>
      </c>
      <c r="H205" s="306">
        <f t="shared" si="143"/>
        <v>886.56</v>
      </c>
      <c r="I205" s="306">
        <f t="shared" si="144"/>
        <v>138.33000000000001</v>
      </c>
      <c r="J205" s="306">
        <f t="shared" si="145"/>
        <v>1106.6400000000001</v>
      </c>
      <c r="K205" s="306"/>
      <c r="L205" s="264"/>
    </row>
    <row r="206" spans="2:14" ht="51">
      <c r="B206" s="365" t="s">
        <v>29</v>
      </c>
      <c r="C206" s="332" t="s">
        <v>620</v>
      </c>
      <c r="D206" s="267" t="s">
        <v>90</v>
      </c>
      <c r="E206" s="300" t="s">
        <v>8</v>
      </c>
      <c r="F206" s="304">
        <v>2</v>
      </c>
      <c r="G206" s="305">
        <v>60.06</v>
      </c>
      <c r="H206" s="306">
        <f t="shared" si="143"/>
        <v>120.12</v>
      </c>
      <c r="I206" s="306">
        <f t="shared" si="144"/>
        <v>74.97</v>
      </c>
      <c r="J206" s="306">
        <f t="shared" si="145"/>
        <v>149.94</v>
      </c>
      <c r="K206" s="306"/>
      <c r="L206" s="264"/>
    </row>
    <row r="207" spans="2:14" ht="38.25">
      <c r="B207" s="341">
        <v>87873</v>
      </c>
      <c r="C207" s="332" t="s">
        <v>621</v>
      </c>
      <c r="D207" s="263" t="s">
        <v>109</v>
      </c>
      <c r="E207" s="332" t="s">
        <v>8</v>
      </c>
      <c r="F207" s="304">
        <v>16</v>
      </c>
      <c r="G207" s="306">
        <v>4.1900000000000004</v>
      </c>
      <c r="H207" s="306">
        <f t="shared" si="143"/>
        <v>67.040000000000006</v>
      </c>
      <c r="I207" s="306">
        <f t="shared" si="144"/>
        <v>5.23</v>
      </c>
      <c r="J207" s="306">
        <f t="shared" si="145"/>
        <v>83.68</v>
      </c>
      <c r="K207" s="306"/>
      <c r="L207" s="264"/>
    </row>
    <row r="208" spans="2:14" ht="51">
      <c r="B208" s="341">
        <v>89048</v>
      </c>
      <c r="C208" s="332" t="s">
        <v>622</v>
      </c>
      <c r="D208" s="267" t="s">
        <v>111</v>
      </c>
      <c r="E208" s="332" t="s">
        <v>8</v>
      </c>
      <c r="F208" s="304">
        <v>16</v>
      </c>
      <c r="G208" s="306">
        <v>24.34</v>
      </c>
      <c r="H208" s="306">
        <f>G208*F208</f>
        <v>389.44</v>
      </c>
      <c r="I208" s="306">
        <f>G208*(1+$K$9)</f>
        <v>30.38</v>
      </c>
      <c r="J208" s="306">
        <f t="shared" si="145"/>
        <v>486.08</v>
      </c>
      <c r="K208" s="306"/>
      <c r="L208" s="264"/>
    </row>
    <row r="209" spans="2:12" ht="25.5">
      <c r="B209" s="265" t="s">
        <v>172</v>
      </c>
      <c r="C209" s="332" t="s">
        <v>623</v>
      </c>
      <c r="D209" s="263" t="s">
        <v>171</v>
      </c>
      <c r="E209" s="332" t="s">
        <v>8</v>
      </c>
      <c r="F209" s="304">
        <v>2</v>
      </c>
      <c r="G209" s="306">
        <v>51.41</v>
      </c>
      <c r="H209" s="306">
        <f>G209*F209</f>
        <v>102.82</v>
      </c>
      <c r="I209" s="306">
        <f>G209*(1+$K$9)</f>
        <v>64.17</v>
      </c>
      <c r="J209" s="306">
        <f t="shared" si="145"/>
        <v>128.34</v>
      </c>
      <c r="K209" s="306"/>
      <c r="L209" s="264"/>
    </row>
    <row r="210" spans="2:12" ht="25.5">
      <c r="B210" s="265">
        <v>40678</v>
      </c>
      <c r="C210" s="332" t="s">
        <v>624</v>
      </c>
      <c r="D210" s="263" t="s">
        <v>173</v>
      </c>
      <c r="E210" s="332" t="s">
        <v>8</v>
      </c>
      <c r="F210" s="304">
        <v>4</v>
      </c>
      <c r="G210" s="306">
        <v>297.72000000000003</v>
      </c>
      <c r="H210" s="306">
        <f>G210*F210</f>
        <v>1190.8800000000001</v>
      </c>
      <c r="I210" s="306">
        <f>G210*(1+$K$9)</f>
        <v>371.61</v>
      </c>
      <c r="J210" s="306">
        <f t="shared" si="145"/>
        <v>1486.44</v>
      </c>
      <c r="K210" s="306"/>
      <c r="L210" s="264"/>
    </row>
    <row r="211" spans="2:12" ht="25.5">
      <c r="B211" s="265">
        <v>92306</v>
      </c>
      <c r="C211" s="332" t="s">
        <v>625</v>
      </c>
      <c r="D211" s="263" t="s">
        <v>163</v>
      </c>
      <c r="E211" s="342" t="s">
        <v>3</v>
      </c>
      <c r="F211" s="310">
        <v>3</v>
      </c>
      <c r="G211" s="306">
        <v>28.2</v>
      </c>
      <c r="H211" s="306">
        <f t="shared" ref="H211:H216" si="146">G211*F211</f>
        <v>84.6</v>
      </c>
      <c r="I211" s="306">
        <f t="shared" ref="I211:I216" si="147">G211*(1+$K$9)</f>
        <v>35.200000000000003</v>
      </c>
      <c r="J211" s="306">
        <f t="shared" si="145"/>
        <v>105.6</v>
      </c>
      <c r="K211" s="306"/>
      <c r="L211" s="264"/>
    </row>
    <row r="212" spans="2:12" ht="25.5">
      <c r="B212" s="265"/>
      <c r="C212" s="332" t="s">
        <v>626</v>
      </c>
      <c r="D212" s="263" t="s">
        <v>165</v>
      </c>
      <c r="E212" s="342" t="s">
        <v>6</v>
      </c>
      <c r="F212" s="310">
        <v>2</v>
      </c>
      <c r="G212" s="306">
        <v>21</v>
      </c>
      <c r="H212" s="306">
        <f t="shared" si="146"/>
        <v>42</v>
      </c>
      <c r="I212" s="306">
        <f t="shared" si="147"/>
        <v>26.21</v>
      </c>
      <c r="J212" s="306">
        <f t="shared" si="145"/>
        <v>52.42</v>
      </c>
      <c r="K212" s="306"/>
      <c r="L212" s="264"/>
    </row>
    <row r="213" spans="2:12">
      <c r="B213" s="265"/>
      <c r="C213" s="332" t="s">
        <v>627</v>
      </c>
      <c r="D213" s="263" t="s">
        <v>167</v>
      </c>
      <c r="E213" s="342" t="s">
        <v>6</v>
      </c>
      <c r="F213" s="310">
        <v>1</v>
      </c>
      <c r="G213" s="306">
        <v>21</v>
      </c>
      <c r="H213" s="306">
        <f t="shared" si="146"/>
        <v>21</v>
      </c>
      <c r="I213" s="306">
        <f t="shared" si="147"/>
        <v>26.21</v>
      </c>
      <c r="J213" s="306">
        <f t="shared" si="145"/>
        <v>26.21</v>
      </c>
      <c r="K213" s="306"/>
      <c r="L213" s="264"/>
    </row>
    <row r="214" spans="2:12">
      <c r="B214" s="265"/>
      <c r="C214" s="332" t="s">
        <v>628</v>
      </c>
      <c r="D214" s="263" t="s">
        <v>168</v>
      </c>
      <c r="E214" s="342" t="s">
        <v>6</v>
      </c>
      <c r="F214" s="310">
        <v>1</v>
      </c>
      <c r="G214" s="306">
        <v>30</v>
      </c>
      <c r="H214" s="306">
        <f t="shared" si="146"/>
        <v>30</v>
      </c>
      <c r="I214" s="306">
        <f t="shared" si="147"/>
        <v>37.450000000000003</v>
      </c>
      <c r="J214" s="306">
        <f t="shared" si="145"/>
        <v>37.450000000000003</v>
      </c>
      <c r="K214" s="306"/>
      <c r="L214" s="264"/>
    </row>
    <row r="215" spans="2:12">
      <c r="B215" s="265"/>
      <c r="C215" s="332" t="s">
        <v>629</v>
      </c>
      <c r="D215" s="263" t="s">
        <v>169</v>
      </c>
      <c r="E215" s="342" t="s">
        <v>6</v>
      </c>
      <c r="F215" s="310">
        <v>1</v>
      </c>
      <c r="G215" s="306">
        <v>30</v>
      </c>
      <c r="H215" s="306">
        <f t="shared" si="146"/>
        <v>30</v>
      </c>
      <c r="I215" s="306">
        <f t="shared" si="147"/>
        <v>37.450000000000003</v>
      </c>
      <c r="J215" s="306">
        <f t="shared" si="145"/>
        <v>37.450000000000003</v>
      </c>
      <c r="K215" s="306"/>
      <c r="L215" s="264"/>
    </row>
    <row r="216" spans="2:12">
      <c r="B216" s="265"/>
      <c r="C216" s="332" t="s">
        <v>630</v>
      </c>
      <c r="D216" s="263" t="s">
        <v>170</v>
      </c>
      <c r="E216" s="342" t="s">
        <v>6</v>
      </c>
      <c r="F216" s="310">
        <v>1</v>
      </c>
      <c r="G216" s="306">
        <v>50</v>
      </c>
      <c r="H216" s="306">
        <f t="shared" si="146"/>
        <v>50</v>
      </c>
      <c r="I216" s="306">
        <f t="shared" si="147"/>
        <v>62.41</v>
      </c>
      <c r="J216" s="306">
        <f t="shared" si="145"/>
        <v>62.41</v>
      </c>
      <c r="K216" s="306"/>
      <c r="L216" s="264"/>
    </row>
    <row r="217" spans="2:12">
      <c r="B217" s="265"/>
      <c r="C217" s="332"/>
      <c r="D217" s="263" t="s">
        <v>155</v>
      </c>
      <c r="E217" s="342"/>
      <c r="F217" s="310"/>
      <c r="G217" s="306"/>
      <c r="H217" s="306"/>
      <c r="I217" s="306"/>
      <c r="J217" s="306"/>
      <c r="K217" s="306"/>
      <c r="L217" s="264"/>
    </row>
    <row r="218" spans="2:12">
      <c r="B218" s="265"/>
      <c r="C218" s="332" t="s">
        <v>631</v>
      </c>
      <c r="D218" s="263" t="s">
        <v>156</v>
      </c>
      <c r="E218" s="342" t="s">
        <v>157</v>
      </c>
      <c r="F218" s="310">
        <v>21</v>
      </c>
      <c r="G218" s="306">
        <v>20</v>
      </c>
      <c r="H218" s="306">
        <f t="shared" si="134"/>
        <v>420</v>
      </c>
      <c r="I218" s="306">
        <f t="shared" si="135"/>
        <v>24.96</v>
      </c>
      <c r="J218" s="306">
        <f t="shared" si="136"/>
        <v>524.16</v>
      </c>
      <c r="K218" s="306"/>
      <c r="L218" s="264"/>
    </row>
    <row r="219" spans="2:12">
      <c r="B219" s="265"/>
      <c r="C219" s="332"/>
      <c r="D219" s="263" t="s">
        <v>158</v>
      </c>
      <c r="E219" s="342"/>
      <c r="F219" s="310"/>
      <c r="G219" s="306"/>
      <c r="H219" s="306"/>
      <c r="I219" s="306"/>
      <c r="J219" s="306"/>
      <c r="K219" s="306"/>
      <c r="L219" s="264"/>
    </row>
    <row r="220" spans="2:12">
      <c r="B220" s="265"/>
      <c r="C220" s="332" t="s">
        <v>632</v>
      </c>
      <c r="D220" s="263" t="s">
        <v>159</v>
      </c>
      <c r="E220" s="342" t="s">
        <v>160</v>
      </c>
      <c r="F220" s="310">
        <v>22</v>
      </c>
      <c r="G220" s="306">
        <v>15</v>
      </c>
      <c r="H220" s="306">
        <f t="shared" ref="H220" si="148">G220*F220</f>
        <v>330</v>
      </c>
      <c r="I220" s="306">
        <f t="shared" ref="I220" si="149">G220*(1+$K$9)</f>
        <v>18.72</v>
      </c>
      <c r="J220" s="306">
        <f t="shared" ref="J220" si="150">I220*F220</f>
        <v>411.84</v>
      </c>
      <c r="K220" s="306"/>
      <c r="L220" s="264"/>
    </row>
    <row r="221" spans="2:12" ht="25.5">
      <c r="B221" s="265">
        <v>92306</v>
      </c>
      <c r="C221" s="332" t="s">
        <v>633</v>
      </c>
      <c r="D221" s="263" t="s">
        <v>163</v>
      </c>
      <c r="E221" s="342" t="s">
        <v>3</v>
      </c>
      <c r="F221" s="310">
        <v>250</v>
      </c>
      <c r="G221" s="306">
        <v>28.2</v>
      </c>
      <c r="H221" s="306">
        <f t="shared" si="134"/>
        <v>7050</v>
      </c>
      <c r="I221" s="306">
        <f t="shared" si="135"/>
        <v>35.200000000000003</v>
      </c>
      <c r="J221" s="306">
        <f t="shared" si="136"/>
        <v>8800</v>
      </c>
      <c r="K221" s="306"/>
      <c r="L221" s="264"/>
    </row>
    <row r="222" spans="2:12" ht="25.5">
      <c r="B222" s="265">
        <v>92299</v>
      </c>
      <c r="C222" s="332" t="s">
        <v>634</v>
      </c>
      <c r="D222" s="263" t="s">
        <v>164</v>
      </c>
      <c r="E222" s="342" t="s">
        <v>6</v>
      </c>
      <c r="F222" s="310">
        <v>21</v>
      </c>
      <c r="G222" s="306">
        <v>12.61</v>
      </c>
      <c r="H222" s="306">
        <f t="shared" si="134"/>
        <v>264.81</v>
      </c>
      <c r="I222" s="306">
        <f t="shared" si="135"/>
        <v>15.74</v>
      </c>
      <c r="J222" s="306">
        <f t="shared" si="136"/>
        <v>330.54</v>
      </c>
      <c r="K222" s="306"/>
      <c r="L222" s="264"/>
    </row>
    <row r="223" spans="2:12">
      <c r="B223" s="265"/>
      <c r="C223" s="332"/>
      <c r="D223" s="263" t="s">
        <v>161</v>
      </c>
      <c r="E223" s="342"/>
      <c r="F223" s="310"/>
      <c r="G223" s="306"/>
      <c r="H223" s="306">
        <f t="shared" si="134"/>
        <v>0</v>
      </c>
      <c r="I223" s="306">
        <f t="shared" si="135"/>
        <v>0</v>
      </c>
      <c r="J223" s="306">
        <f t="shared" si="136"/>
        <v>0</v>
      </c>
      <c r="K223" s="306"/>
      <c r="L223" s="264"/>
    </row>
    <row r="224" spans="2:12">
      <c r="B224" s="265"/>
      <c r="C224" s="332" t="s">
        <v>635</v>
      </c>
      <c r="D224" s="263" t="s">
        <v>162</v>
      </c>
      <c r="E224" s="342"/>
      <c r="F224" s="310"/>
      <c r="G224" s="306"/>
      <c r="H224" s="306">
        <f t="shared" si="134"/>
        <v>0</v>
      </c>
      <c r="I224" s="306">
        <f t="shared" si="135"/>
        <v>0</v>
      </c>
      <c r="J224" s="306">
        <f t="shared" si="136"/>
        <v>0</v>
      </c>
      <c r="K224" s="306"/>
      <c r="L224" s="264"/>
    </row>
    <row r="225" spans="2:12" ht="25.5">
      <c r="B225" s="265">
        <v>89349</v>
      </c>
      <c r="C225" s="332" t="s">
        <v>636</v>
      </c>
      <c r="D225" s="263" t="s">
        <v>165</v>
      </c>
      <c r="E225" s="342" t="s">
        <v>6</v>
      </c>
      <c r="F225" s="310">
        <v>11</v>
      </c>
      <c r="G225" s="306">
        <v>21</v>
      </c>
      <c r="H225" s="306">
        <f t="shared" si="134"/>
        <v>231</v>
      </c>
      <c r="I225" s="306">
        <f t="shared" si="135"/>
        <v>26.21</v>
      </c>
      <c r="J225" s="306">
        <f t="shared" si="136"/>
        <v>288.31</v>
      </c>
      <c r="K225" s="306"/>
      <c r="L225" s="264"/>
    </row>
    <row r="226" spans="2:12">
      <c r="B226" s="265"/>
      <c r="C226" s="332"/>
      <c r="E226" s="342"/>
      <c r="F226" s="310"/>
      <c r="G226" s="306"/>
      <c r="H226" s="306"/>
      <c r="I226" s="306"/>
      <c r="J226" s="306"/>
      <c r="K226" s="306"/>
      <c r="L226" s="264"/>
    </row>
    <row r="227" spans="2:12">
      <c r="B227" s="265"/>
      <c r="C227" s="332">
        <v>15</v>
      </c>
      <c r="D227" s="263" t="s">
        <v>637</v>
      </c>
      <c r="E227" s="342"/>
      <c r="F227" s="310"/>
      <c r="G227" s="306"/>
      <c r="H227" s="306"/>
      <c r="I227" s="306"/>
      <c r="J227" s="306"/>
      <c r="K227" s="306">
        <f>SUM(J228:J335)</f>
        <v>595936.67000000004</v>
      </c>
      <c r="L227" s="264">
        <f>SUM(J228:J337)</f>
        <v>595936.67000000004</v>
      </c>
    </row>
    <row r="228" spans="2:12">
      <c r="B228" s="265"/>
      <c r="C228" s="332"/>
      <c r="D228" s="375" t="s">
        <v>39</v>
      </c>
      <c r="E228" s="375"/>
      <c r="F228" s="310"/>
      <c r="G228" s="306"/>
      <c r="H228" s="306"/>
      <c r="I228" s="306"/>
      <c r="J228" s="306"/>
      <c r="K228" s="306"/>
      <c r="L228" s="264"/>
    </row>
    <row r="229" spans="2:12" ht="25.5">
      <c r="B229" s="265">
        <v>83366</v>
      </c>
      <c r="C229" s="332" t="s">
        <v>638</v>
      </c>
      <c r="D229" s="375" t="s">
        <v>192</v>
      </c>
      <c r="E229" s="342" t="s">
        <v>6</v>
      </c>
      <c r="F229" s="310">
        <v>63</v>
      </c>
      <c r="G229" s="306">
        <v>57</v>
      </c>
      <c r="H229" s="306">
        <f t="shared" ref="H229" si="151">G229*F229</f>
        <v>3591</v>
      </c>
      <c r="I229" s="306">
        <f t="shared" ref="I229" si="152">G229*(1+$K$9)</f>
        <v>71.150000000000006</v>
      </c>
      <c r="J229" s="306">
        <f t="shared" ref="J229" si="153">I229*F229</f>
        <v>4482.45</v>
      </c>
      <c r="K229" s="306"/>
      <c r="L229" s="264"/>
    </row>
    <row r="230" spans="2:12">
      <c r="B230" s="265"/>
      <c r="C230" s="332"/>
      <c r="D230" s="375" t="s">
        <v>174</v>
      </c>
      <c r="E230" s="375"/>
      <c r="F230" s="310"/>
      <c r="G230" s="306"/>
      <c r="H230" s="306"/>
      <c r="I230" s="306"/>
      <c r="J230" s="306"/>
      <c r="K230" s="306"/>
      <c r="L230" s="264"/>
    </row>
    <row r="231" spans="2:12">
      <c r="B231" s="265"/>
      <c r="C231" s="332"/>
      <c r="D231" s="375" t="s">
        <v>175</v>
      </c>
      <c r="E231" s="375"/>
      <c r="F231" s="310"/>
      <c r="G231" s="306"/>
      <c r="H231" s="306"/>
      <c r="I231" s="306"/>
      <c r="J231" s="306"/>
      <c r="K231" s="306"/>
      <c r="L231" s="264"/>
    </row>
    <row r="232" spans="2:12">
      <c r="B232" s="265"/>
      <c r="C232" s="332"/>
      <c r="D232" s="375" t="s">
        <v>176</v>
      </c>
      <c r="E232" s="376"/>
      <c r="F232" s="310"/>
      <c r="G232" s="306"/>
      <c r="H232" s="306"/>
      <c r="I232" s="306"/>
      <c r="J232" s="306"/>
      <c r="K232" s="306"/>
      <c r="L232" s="264"/>
    </row>
    <row r="233" spans="2:12">
      <c r="B233" s="265">
        <v>83447</v>
      </c>
      <c r="C233" s="332" t="s">
        <v>639</v>
      </c>
      <c r="D233" s="263" t="s">
        <v>640</v>
      </c>
      <c r="E233" s="342" t="s">
        <v>6</v>
      </c>
      <c r="F233" s="310">
        <v>6</v>
      </c>
      <c r="G233" s="306">
        <v>157.30000000000001</v>
      </c>
      <c r="H233" s="306">
        <f t="shared" ref="H233" si="154">G233*F233</f>
        <v>943.8</v>
      </c>
      <c r="I233" s="306">
        <f t="shared" ref="I233" si="155">G233*(1+$K$9)</f>
        <v>196.34</v>
      </c>
      <c r="J233" s="306">
        <f t="shared" ref="J233" si="156">I233*F233</f>
        <v>1178.04</v>
      </c>
      <c r="K233" s="306"/>
      <c r="L233" s="264"/>
    </row>
    <row r="234" spans="2:12">
      <c r="B234" s="265"/>
      <c r="C234" s="332"/>
      <c r="D234" s="375" t="s">
        <v>177</v>
      </c>
      <c r="E234" s="375"/>
      <c r="F234" s="310"/>
      <c r="G234" s="306"/>
      <c r="H234" s="306"/>
      <c r="I234" s="306"/>
      <c r="J234" s="306"/>
      <c r="K234" s="306"/>
      <c r="L234" s="264"/>
    </row>
    <row r="235" spans="2:12">
      <c r="B235" s="265"/>
      <c r="C235" s="332"/>
      <c r="D235" s="375" t="s">
        <v>178</v>
      </c>
      <c r="E235" s="375"/>
      <c r="F235" s="310"/>
      <c r="G235" s="306"/>
      <c r="H235" s="306"/>
      <c r="I235" s="306"/>
      <c r="J235" s="306"/>
      <c r="K235" s="306"/>
      <c r="L235" s="264"/>
    </row>
    <row r="236" spans="2:12">
      <c r="B236" s="265"/>
      <c r="C236" s="332"/>
      <c r="D236" s="375" t="s">
        <v>179</v>
      </c>
      <c r="E236" s="332"/>
      <c r="F236" s="310"/>
      <c r="G236" s="306"/>
      <c r="H236" s="306"/>
      <c r="I236" s="306"/>
      <c r="J236" s="306"/>
      <c r="K236" s="306"/>
      <c r="L236" s="264"/>
    </row>
    <row r="237" spans="2:12" ht="38.25">
      <c r="B237" s="265">
        <v>83369</v>
      </c>
      <c r="C237" s="332" t="s">
        <v>641</v>
      </c>
      <c r="D237" s="263" t="s">
        <v>917</v>
      </c>
      <c r="E237" s="342" t="s">
        <v>6</v>
      </c>
      <c r="F237" s="310">
        <v>11</v>
      </c>
      <c r="G237" s="306">
        <v>230.09</v>
      </c>
      <c r="H237" s="306">
        <f t="shared" ref="H237" si="157">G237*F237</f>
        <v>2530.9899999999998</v>
      </c>
      <c r="I237" s="306">
        <f t="shared" ref="I237" si="158">G237*(1+$K$9)</f>
        <v>287.2</v>
      </c>
      <c r="J237" s="306">
        <f t="shared" ref="J237" si="159">I237*F237</f>
        <v>3159.2</v>
      </c>
      <c r="K237" s="306"/>
      <c r="L237" s="264"/>
    </row>
    <row r="238" spans="2:12">
      <c r="B238" s="265"/>
      <c r="C238" s="332"/>
      <c r="D238" s="375" t="s">
        <v>180</v>
      </c>
      <c r="E238" s="375"/>
      <c r="F238" s="310"/>
      <c r="G238" s="306"/>
      <c r="H238" s="306"/>
      <c r="I238" s="306"/>
      <c r="J238" s="306"/>
      <c r="K238" s="306"/>
      <c r="L238" s="264"/>
    </row>
    <row r="239" spans="2:12">
      <c r="B239" s="265"/>
      <c r="C239" s="332"/>
      <c r="D239" s="375" t="s">
        <v>193</v>
      </c>
      <c r="E239" s="332"/>
      <c r="F239" s="310"/>
      <c r="G239" s="306"/>
      <c r="H239" s="306"/>
      <c r="I239" s="306"/>
      <c r="J239" s="306"/>
      <c r="K239" s="306"/>
      <c r="L239" s="264"/>
    </row>
    <row r="240" spans="2:12" ht="25.5">
      <c r="B240" s="265">
        <v>83366</v>
      </c>
      <c r="C240" s="332" t="s">
        <v>642</v>
      </c>
      <c r="D240" s="263" t="s">
        <v>194</v>
      </c>
      <c r="E240" s="376" t="s">
        <v>6</v>
      </c>
      <c r="F240" s="310">
        <v>150</v>
      </c>
      <c r="G240" s="306">
        <v>57</v>
      </c>
      <c r="H240" s="306">
        <f t="shared" ref="H240" si="160">G240*F240</f>
        <v>8550</v>
      </c>
      <c r="I240" s="306">
        <f t="shared" ref="I240" si="161">G240*(1+$K$9)</f>
        <v>71.150000000000006</v>
      </c>
      <c r="J240" s="306">
        <f t="shared" ref="J240" si="162">I240*F240</f>
        <v>10672.5</v>
      </c>
      <c r="K240" s="306"/>
      <c r="L240" s="264"/>
    </row>
    <row r="241" spans="2:12">
      <c r="B241" s="265"/>
      <c r="C241" s="332"/>
      <c r="D241" s="375" t="s">
        <v>40</v>
      </c>
      <c r="E241" s="332"/>
      <c r="F241" s="310"/>
      <c r="G241" s="306"/>
      <c r="H241" s="306"/>
      <c r="I241" s="306"/>
      <c r="J241" s="306"/>
      <c r="K241" s="306"/>
      <c r="L241" s="264"/>
    </row>
    <row r="242" spans="2:12">
      <c r="B242" s="265">
        <v>72337</v>
      </c>
      <c r="C242" s="332" t="s">
        <v>643</v>
      </c>
      <c r="D242" s="332" t="s">
        <v>195</v>
      </c>
      <c r="E242" s="376" t="s">
        <v>6</v>
      </c>
      <c r="F242" s="310">
        <v>400</v>
      </c>
      <c r="G242" s="306">
        <v>20</v>
      </c>
      <c r="H242" s="306">
        <f t="shared" ref="H242" si="163">G242*F242</f>
        <v>8000</v>
      </c>
      <c r="I242" s="306">
        <f t="shared" ref="I242" si="164">G242*(1+$K$9)</f>
        <v>24.96</v>
      </c>
      <c r="J242" s="306">
        <f t="shared" ref="J242" si="165">I242*F242</f>
        <v>9984</v>
      </c>
      <c r="K242" s="306"/>
      <c r="L242" s="264"/>
    </row>
    <row r="243" spans="2:12">
      <c r="B243" s="265"/>
      <c r="C243" s="332"/>
      <c r="D243" s="375" t="s">
        <v>181</v>
      </c>
      <c r="E243" s="375"/>
      <c r="F243" s="310"/>
      <c r="G243" s="306"/>
      <c r="H243" s="306"/>
      <c r="I243" s="306"/>
      <c r="J243" s="306"/>
      <c r="K243" s="306"/>
      <c r="L243" s="264"/>
    </row>
    <row r="244" spans="2:12">
      <c r="B244" s="265"/>
      <c r="C244" s="332"/>
      <c r="D244" s="375" t="s">
        <v>182</v>
      </c>
      <c r="E244" s="375"/>
      <c r="F244" s="310"/>
      <c r="G244" s="306"/>
      <c r="H244" s="306"/>
      <c r="I244" s="306"/>
      <c r="J244" s="306"/>
      <c r="K244" s="306"/>
      <c r="L244" s="264"/>
    </row>
    <row r="245" spans="2:12">
      <c r="B245" s="265"/>
      <c r="C245" s="332" t="s">
        <v>644</v>
      </c>
      <c r="D245" s="375" t="s">
        <v>196</v>
      </c>
      <c r="E245" s="376" t="s">
        <v>3</v>
      </c>
      <c r="F245" s="310">
        <v>620</v>
      </c>
      <c r="G245" s="306">
        <v>19.63</v>
      </c>
      <c r="H245" s="306">
        <f t="shared" ref="H245" si="166">G245*F245</f>
        <v>12170.6</v>
      </c>
      <c r="I245" s="306">
        <f t="shared" ref="I245" si="167">G245*(1+$K$9)</f>
        <v>24.5</v>
      </c>
      <c r="J245" s="306">
        <f t="shared" ref="J245" si="168">I245*F245</f>
        <v>15190</v>
      </c>
      <c r="K245" s="306"/>
      <c r="L245" s="264"/>
    </row>
    <row r="246" spans="2:12">
      <c r="B246" s="265"/>
      <c r="C246" s="332" t="s">
        <v>916</v>
      </c>
      <c r="D246" s="375" t="s">
        <v>915</v>
      </c>
      <c r="E246" s="376" t="s">
        <v>3</v>
      </c>
      <c r="F246" s="310">
        <v>2500</v>
      </c>
      <c r="G246" s="306">
        <v>3</v>
      </c>
      <c r="H246" s="306">
        <f t="shared" ref="H246" si="169">G246*F246</f>
        <v>7500</v>
      </c>
      <c r="I246" s="306">
        <f t="shared" ref="I246" si="170">G246*(1+$K$9)</f>
        <v>3.74</v>
      </c>
      <c r="J246" s="306">
        <f t="shared" ref="J246" si="171">I246*F246</f>
        <v>9350</v>
      </c>
      <c r="K246" s="306"/>
      <c r="L246" s="264"/>
    </row>
    <row r="247" spans="2:12">
      <c r="B247" s="265"/>
      <c r="C247" s="332"/>
      <c r="D247" s="375" t="s">
        <v>41</v>
      </c>
      <c r="E247" s="375"/>
      <c r="F247" s="310"/>
      <c r="G247" s="306"/>
      <c r="H247" s="306"/>
      <c r="I247" s="306"/>
      <c r="J247" s="306"/>
      <c r="K247" s="306"/>
      <c r="L247" s="264"/>
    </row>
    <row r="248" spans="2:12">
      <c r="B248" s="265"/>
      <c r="C248" s="332"/>
      <c r="D248" s="375" t="s">
        <v>37</v>
      </c>
      <c r="E248" s="375"/>
      <c r="F248" s="310"/>
      <c r="G248" s="306"/>
      <c r="H248" s="306"/>
      <c r="I248" s="306"/>
      <c r="J248" s="306"/>
      <c r="K248" s="306"/>
      <c r="L248" s="264"/>
    </row>
    <row r="249" spans="2:12" ht="38.25">
      <c r="B249" s="368" t="s">
        <v>197</v>
      </c>
      <c r="C249" s="332" t="s">
        <v>645</v>
      </c>
      <c r="D249" s="263" t="s">
        <v>198</v>
      </c>
      <c r="E249" s="376" t="s">
        <v>3</v>
      </c>
      <c r="F249" s="310">
        <v>80</v>
      </c>
      <c r="G249" s="306">
        <v>27.52</v>
      </c>
      <c r="H249" s="306">
        <f t="shared" ref="H249" si="172">G249*F249</f>
        <v>2201.6</v>
      </c>
      <c r="I249" s="306">
        <f t="shared" ref="I249" si="173">G249*(1+$K$9)</f>
        <v>34.35</v>
      </c>
      <c r="J249" s="306">
        <f t="shared" ref="J249" si="174">I249*F249</f>
        <v>2748</v>
      </c>
      <c r="K249" s="306"/>
      <c r="L249" s="264"/>
    </row>
    <row r="250" spans="2:12" ht="24" customHeight="1">
      <c r="B250" s="265"/>
      <c r="C250" s="332"/>
      <c r="D250" s="375" t="s">
        <v>184</v>
      </c>
      <c r="E250" s="376"/>
      <c r="F250" s="310"/>
      <c r="G250" s="306"/>
      <c r="H250" s="306"/>
      <c r="I250" s="306"/>
      <c r="J250" s="306"/>
      <c r="K250" s="306"/>
      <c r="L250" s="264"/>
    </row>
    <row r="251" spans="2:12" ht="24" customHeight="1">
      <c r="B251" s="368">
        <v>95750</v>
      </c>
      <c r="C251" s="332" t="s">
        <v>646</v>
      </c>
      <c r="D251" s="263" t="s">
        <v>199</v>
      </c>
      <c r="E251" s="376" t="s">
        <v>3</v>
      </c>
      <c r="F251" s="310">
        <v>120</v>
      </c>
      <c r="G251" s="306">
        <v>22.17</v>
      </c>
      <c r="H251" s="306">
        <f t="shared" ref="H251" si="175">G251*F251</f>
        <v>2660.4</v>
      </c>
      <c r="I251" s="306">
        <f t="shared" ref="I251" si="176">G251*(1+$K$9)</f>
        <v>27.67</v>
      </c>
      <c r="J251" s="306">
        <f t="shared" ref="J251" si="177">I251*F251</f>
        <v>3320.4</v>
      </c>
      <c r="K251" s="306"/>
      <c r="L251" s="264"/>
    </row>
    <row r="252" spans="2:12">
      <c r="B252" s="265"/>
      <c r="C252" s="332"/>
      <c r="D252" s="375" t="s">
        <v>42</v>
      </c>
      <c r="E252" s="375"/>
      <c r="F252" s="310"/>
      <c r="G252" s="306"/>
      <c r="H252" s="306"/>
      <c r="I252" s="306"/>
      <c r="J252" s="306"/>
      <c r="K252" s="306"/>
      <c r="L252" s="264"/>
    </row>
    <row r="253" spans="2:12" ht="25.5">
      <c r="B253" s="368">
        <v>83366</v>
      </c>
      <c r="C253" s="332" t="s">
        <v>647</v>
      </c>
      <c r="D253" s="263" t="s">
        <v>201</v>
      </c>
      <c r="E253" s="376" t="s">
        <v>185</v>
      </c>
      <c r="F253" s="310">
        <v>45</v>
      </c>
      <c r="G253" s="306">
        <v>57</v>
      </c>
      <c r="H253" s="306">
        <f t="shared" ref="H253" si="178">G253*F253</f>
        <v>2565</v>
      </c>
      <c r="I253" s="306">
        <f t="shared" ref="I253" si="179">G253*(1+$K$9)</f>
        <v>71.150000000000006</v>
      </c>
      <c r="J253" s="306">
        <f t="shared" ref="J253" si="180">I253*F253</f>
        <v>3201.75</v>
      </c>
      <c r="K253" s="306"/>
      <c r="L253" s="264"/>
    </row>
    <row r="254" spans="2:12">
      <c r="B254" s="265"/>
      <c r="C254" s="332"/>
      <c r="D254" s="375" t="s">
        <v>186</v>
      </c>
      <c r="E254" s="375"/>
      <c r="F254" s="310"/>
      <c r="G254" s="306"/>
      <c r="H254" s="306"/>
      <c r="I254" s="306"/>
      <c r="J254" s="306"/>
      <c r="K254" s="306"/>
      <c r="L254" s="264"/>
    </row>
    <row r="255" spans="2:12">
      <c r="B255" s="265"/>
      <c r="C255" s="332"/>
      <c r="D255" s="375" t="s">
        <v>175</v>
      </c>
      <c r="E255" s="375"/>
      <c r="F255" s="310"/>
      <c r="G255" s="306"/>
      <c r="H255" s="306"/>
      <c r="I255" s="306"/>
      <c r="J255" s="306"/>
      <c r="K255" s="306"/>
      <c r="L255" s="264"/>
    </row>
    <row r="256" spans="2:12">
      <c r="B256" s="265">
        <v>83447</v>
      </c>
      <c r="C256" s="332" t="s">
        <v>648</v>
      </c>
      <c r="D256" s="263" t="s">
        <v>237</v>
      </c>
      <c r="E256" s="376" t="s">
        <v>45</v>
      </c>
      <c r="F256" s="310">
        <v>6</v>
      </c>
      <c r="G256" s="306">
        <v>156.38</v>
      </c>
      <c r="H256" s="306">
        <f t="shared" ref="H256" si="181">G256*F256</f>
        <v>938.28</v>
      </c>
      <c r="I256" s="306">
        <f t="shared" ref="I256" si="182">G256*(1+$K$9)</f>
        <v>195.19</v>
      </c>
      <c r="J256" s="306">
        <f t="shared" ref="J256" si="183">I256*F256</f>
        <v>1171.1400000000001</v>
      </c>
      <c r="K256" s="306"/>
      <c r="L256" s="264"/>
    </row>
    <row r="257" spans="2:12">
      <c r="B257" s="265"/>
      <c r="C257" s="332"/>
      <c r="D257" s="375" t="s">
        <v>187</v>
      </c>
      <c r="E257" s="375"/>
      <c r="F257" s="310"/>
      <c r="G257" s="306"/>
      <c r="H257" s="306"/>
      <c r="I257" s="306"/>
      <c r="J257" s="306"/>
      <c r="K257" s="306"/>
      <c r="L257" s="264"/>
    </row>
    <row r="258" spans="2:12" ht="25.5">
      <c r="B258" s="265">
        <v>83366</v>
      </c>
      <c r="C258" s="332" t="s">
        <v>649</v>
      </c>
      <c r="D258" s="375" t="s">
        <v>192</v>
      </c>
      <c r="E258" s="375" t="s">
        <v>6</v>
      </c>
      <c r="F258" s="310">
        <v>45</v>
      </c>
      <c r="G258" s="306">
        <v>57</v>
      </c>
      <c r="H258" s="306">
        <f t="shared" ref="H258" si="184">G258*F258</f>
        <v>2565</v>
      </c>
      <c r="I258" s="306">
        <f t="shared" ref="I258" si="185">G258*(1+$K$9)</f>
        <v>71.150000000000006</v>
      </c>
      <c r="J258" s="306">
        <f t="shared" ref="J258" si="186">I258*F258</f>
        <v>3201.75</v>
      </c>
      <c r="K258" s="306"/>
      <c r="L258" s="264"/>
    </row>
    <row r="259" spans="2:12">
      <c r="B259" s="265"/>
      <c r="C259" s="332"/>
      <c r="D259" s="375" t="s">
        <v>178</v>
      </c>
      <c r="E259" s="376"/>
      <c r="F259" s="310"/>
      <c r="G259" s="306"/>
      <c r="H259" s="306"/>
      <c r="I259" s="306"/>
      <c r="J259" s="306"/>
      <c r="K259" s="306"/>
      <c r="L259" s="264"/>
    </row>
    <row r="260" spans="2:12" ht="38.25">
      <c r="B260" s="265">
        <v>83370</v>
      </c>
      <c r="C260" s="332" t="s">
        <v>650</v>
      </c>
      <c r="D260" s="263" t="s">
        <v>200</v>
      </c>
      <c r="E260" s="375" t="s">
        <v>6</v>
      </c>
      <c r="F260" s="310">
        <v>10</v>
      </c>
      <c r="G260" s="306">
        <v>230.09</v>
      </c>
      <c r="H260" s="306">
        <f t="shared" ref="H260" si="187">G260*F260</f>
        <v>2300.9</v>
      </c>
      <c r="I260" s="306">
        <f t="shared" ref="I260" si="188">G260*(1+$K$9)</f>
        <v>287.2</v>
      </c>
      <c r="J260" s="306">
        <f t="shared" ref="J260" si="189">I260*F260</f>
        <v>2872</v>
      </c>
      <c r="K260" s="306"/>
      <c r="L260" s="264"/>
    </row>
    <row r="261" spans="2:12">
      <c r="B261" s="265"/>
      <c r="C261" s="332"/>
      <c r="D261" s="375" t="s">
        <v>914</v>
      </c>
      <c r="E261" s="375"/>
      <c r="F261" s="310"/>
      <c r="G261" s="306"/>
      <c r="H261" s="306"/>
      <c r="I261" s="306"/>
      <c r="J261" s="306"/>
      <c r="K261" s="306"/>
      <c r="L261" s="264"/>
    </row>
    <row r="262" spans="2:12">
      <c r="B262" s="265"/>
      <c r="C262" s="332" t="s">
        <v>651</v>
      </c>
      <c r="D262" s="375" t="s">
        <v>189</v>
      </c>
      <c r="E262" s="375" t="s">
        <v>6</v>
      </c>
      <c r="F262" s="310">
        <v>35</v>
      </c>
      <c r="G262" s="306">
        <v>20</v>
      </c>
      <c r="H262" s="306">
        <f t="shared" ref="H262" si="190">G262*F262</f>
        <v>700</v>
      </c>
      <c r="I262" s="306">
        <f t="shared" ref="I262" si="191">G262*(1+$K$9)</f>
        <v>24.96</v>
      </c>
      <c r="J262" s="306">
        <f t="shared" ref="J262" si="192">I262*F262</f>
        <v>873.6</v>
      </c>
      <c r="K262" s="306"/>
      <c r="L262" s="264"/>
    </row>
    <row r="263" spans="2:12">
      <c r="B263" s="265"/>
      <c r="C263" s="332"/>
      <c r="D263" s="375" t="s">
        <v>190</v>
      </c>
      <c r="E263" s="375"/>
      <c r="F263" s="310"/>
      <c r="G263" s="306"/>
      <c r="H263" s="306"/>
      <c r="I263" s="306"/>
      <c r="J263" s="306"/>
      <c r="K263" s="306"/>
      <c r="L263" s="264"/>
    </row>
    <row r="264" spans="2:12">
      <c r="B264" s="265"/>
      <c r="C264" s="332" t="s">
        <v>652</v>
      </c>
      <c r="D264" s="375" t="s">
        <v>182</v>
      </c>
      <c r="E264" s="375"/>
      <c r="F264" s="310"/>
      <c r="G264" s="306"/>
      <c r="H264" s="306"/>
      <c r="I264" s="306"/>
      <c r="J264" s="306"/>
      <c r="K264" s="306"/>
      <c r="L264" s="264"/>
    </row>
    <row r="265" spans="2:12">
      <c r="B265" s="265"/>
      <c r="C265" s="268" t="s">
        <v>653</v>
      </c>
      <c r="D265" s="375" t="s">
        <v>183</v>
      </c>
      <c r="E265" s="376" t="s">
        <v>3</v>
      </c>
      <c r="F265" s="310">
        <v>650</v>
      </c>
      <c r="G265" s="306">
        <v>19.63</v>
      </c>
      <c r="H265" s="306">
        <f t="shared" ref="H265" si="193">G265*F265</f>
        <v>12759.5</v>
      </c>
      <c r="I265" s="306">
        <f t="shared" ref="I265" si="194">G265*(1+$K$9)</f>
        <v>24.5</v>
      </c>
      <c r="J265" s="306">
        <f t="shared" ref="J265" si="195">I265*F265</f>
        <v>15925</v>
      </c>
      <c r="K265" s="306"/>
      <c r="L265" s="264"/>
    </row>
    <row r="266" spans="2:12">
      <c r="B266" s="265"/>
      <c r="C266" s="332"/>
      <c r="D266" s="375" t="s">
        <v>43</v>
      </c>
      <c r="E266" s="375"/>
      <c r="F266" s="310"/>
      <c r="G266" s="306"/>
      <c r="H266" s="306"/>
      <c r="I266" s="306"/>
      <c r="J266" s="306"/>
      <c r="K266" s="306"/>
      <c r="L266" s="264"/>
    </row>
    <row r="267" spans="2:12">
      <c r="B267" s="265"/>
      <c r="C267" s="332"/>
      <c r="D267" s="375" t="s">
        <v>37</v>
      </c>
      <c r="E267" s="375"/>
      <c r="F267" s="310"/>
      <c r="G267" s="306"/>
      <c r="H267" s="306"/>
      <c r="I267" s="306"/>
      <c r="J267" s="306"/>
      <c r="K267" s="306"/>
      <c r="L267" s="264"/>
    </row>
    <row r="268" spans="2:12" ht="38.25">
      <c r="B268" s="265" t="s">
        <v>197</v>
      </c>
      <c r="C268" s="332" t="s">
        <v>654</v>
      </c>
      <c r="D268" s="263" t="s">
        <v>198</v>
      </c>
      <c r="E268" s="376" t="s">
        <v>3</v>
      </c>
      <c r="F268" s="310">
        <v>80</v>
      </c>
      <c r="G268" s="306">
        <v>27.52</v>
      </c>
      <c r="H268" s="306">
        <f t="shared" ref="H268" si="196">G268*F268</f>
        <v>2201.6</v>
      </c>
      <c r="I268" s="306">
        <f t="shared" ref="I268" si="197">G268*(1+$K$9)</f>
        <v>34.35</v>
      </c>
      <c r="J268" s="306">
        <f t="shared" ref="J268" si="198">I268*F268</f>
        <v>2748</v>
      </c>
      <c r="K268" s="306"/>
      <c r="L268" s="264"/>
    </row>
    <row r="269" spans="2:12">
      <c r="B269" s="265"/>
      <c r="D269" s="375" t="s">
        <v>191</v>
      </c>
      <c r="E269" s="375"/>
      <c r="F269" s="310"/>
      <c r="G269" s="306"/>
      <c r="H269" s="306"/>
      <c r="I269" s="306"/>
      <c r="J269" s="306"/>
      <c r="K269" s="306"/>
      <c r="L269" s="264"/>
    </row>
    <row r="270" spans="2:12" ht="25.5">
      <c r="B270" s="265">
        <v>95750</v>
      </c>
      <c r="C270" s="332" t="s">
        <v>655</v>
      </c>
      <c r="D270" s="263" t="s">
        <v>911</v>
      </c>
      <c r="E270" s="376" t="s">
        <v>3</v>
      </c>
      <c r="F270" s="310">
        <v>80</v>
      </c>
      <c r="G270" s="306">
        <v>18.440000000000001</v>
      </c>
      <c r="H270" s="306">
        <f t="shared" ref="H270" si="199">G270*F270</f>
        <v>1475.2</v>
      </c>
      <c r="I270" s="306">
        <f t="shared" ref="I270" si="200">G270*(1+$K$9)</f>
        <v>23.02</v>
      </c>
      <c r="J270" s="306">
        <f t="shared" ref="J270" si="201">I270*F270</f>
        <v>1841.6</v>
      </c>
      <c r="K270" s="306"/>
      <c r="L270" s="264"/>
    </row>
    <row r="271" spans="2:12" ht="25.5">
      <c r="B271" s="265" t="s">
        <v>913</v>
      </c>
      <c r="C271" s="332" t="s">
        <v>656</v>
      </c>
      <c r="D271" s="263" t="s">
        <v>912</v>
      </c>
      <c r="E271" s="376" t="s">
        <v>3</v>
      </c>
      <c r="F271" s="310">
        <v>850</v>
      </c>
      <c r="G271" s="306">
        <v>13.15</v>
      </c>
      <c r="H271" s="306">
        <f t="shared" ref="H271" si="202">G271*F271</f>
        <v>11177.5</v>
      </c>
      <c r="I271" s="306">
        <f t="shared" ref="I271" si="203">G271*(1+$K$9)</f>
        <v>16.41</v>
      </c>
      <c r="J271" s="306">
        <f t="shared" ref="J271" si="204">I271*F271</f>
        <v>13948.5</v>
      </c>
      <c r="K271" s="306"/>
      <c r="L271" s="264"/>
    </row>
    <row r="272" spans="2:12">
      <c r="B272" s="265"/>
      <c r="C272" s="332"/>
      <c r="D272" s="332"/>
      <c r="E272" s="376"/>
      <c r="F272" s="310"/>
      <c r="G272" s="306"/>
      <c r="H272" s="306"/>
      <c r="I272" s="306"/>
      <c r="J272" s="306"/>
      <c r="K272" s="306"/>
      <c r="L272" s="264"/>
    </row>
    <row r="273" spans="2:18">
      <c r="B273" s="265"/>
      <c r="C273" s="332"/>
      <c r="E273" s="332"/>
      <c r="F273" s="310"/>
      <c r="G273" s="306"/>
      <c r="H273" s="306"/>
      <c r="I273" s="306"/>
      <c r="J273" s="306"/>
      <c r="K273" s="306"/>
      <c r="L273" s="264"/>
    </row>
    <row r="274" spans="2:18">
      <c r="B274" s="265"/>
      <c r="C274" s="332"/>
      <c r="D274" s="375" t="s">
        <v>235</v>
      </c>
      <c r="E274" s="332"/>
      <c r="F274" s="310"/>
      <c r="G274" s="306"/>
      <c r="H274" s="306"/>
      <c r="I274" s="306"/>
      <c r="J274" s="306"/>
      <c r="K274" s="306"/>
      <c r="L274" s="264"/>
    </row>
    <row r="275" spans="2:18">
      <c r="B275" s="265"/>
      <c r="C275" s="332"/>
      <c r="D275" s="375" t="s">
        <v>202</v>
      </c>
      <c r="E275" s="375"/>
      <c r="F275" s="310"/>
      <c r="G275" s="306"/>
      <c r="H275" s="306"/>
      <c r="I275" s="306"/>
      <c r="J275" s="306"/>
      <c r="K275" s="306"/>
      <c r="L275" s="264"/>
    </row>
    <row r="276" spans="2:18">
      <c r="B276" s="265"/>
      <c r="C276" s="332"/>
      <c r="D276" s="375" t="s">
        <v>203</v>
      </c>
      <c r="E276" s="375"/>
      <c r="F276" s="310"/>
      <c r="G276" s="306"/>
      <c r="H276" s="306"/>
      <c r="I276" s="306"/>
      <c r="J276" s="306"/>
      <c r="K276" s="306"/>
      <c r="L276" s="264"/>
    </row>
    <row r="277" spans="2:18" ht="15">
      <c r="B277" s="265">
        <v>91924</v>
      </c>
      <c r="C277" s="332" t="s">
        <v>655</v>
      </c>
      <c r="D277" s="375" t="s">
        <v>204</v>
      </c>
      <c r="E277" s="376" t="s">
        <v>3</v>
      </c>
      <c r="F277" s="310">
        <v>3860</v>
      </c>
      <c r="G277" s="306">
        <v>2</v>
      </c>
      <c r="H277" s="306">
        <f t="shared" ref="H277" si="205">G277*F277</f>
        <v>7720</v>
      </c>
      <c r="I277" s="306">
        <f t="shared" ref="I277" si="206">G277*(1+$K$9)</f>
        <v>2.5</v>
      </c>
      <c r="J277" s="306">
        <f t="shared" ref="J277" si="207">I277*F277</f>
        <v>9650</v>
      </c>
      <c r="K277" s="306"/>
      <c r="M277" s="252"/>
      <c r="N277" s="252"/>
      <c r="O277" s="377" t="s">
        <v>204</v>
      </c>
      <c r="P277" s="377" t="s">
        <v>204</v>
      </c>
      <c r="Q277" s="378">
        <v>3860</v>
      </c>
      <c r="R277" s="379" t="s">
        <v>3</v>
      </c>
    </row>
    <row r="278" spans="2:18" ht="15">
      <c r="B278" s="265">
        <v>91932</v>
      </c>
      <c r="C278" s="332" t="s">
        <v>656</v>
      </c>
      <c r="D278" s="375" t="s">
        <v>205</v>
      </c>
      <c r="E278" s="376" t="s">
        <v>3</v>
      </c>
      <c r="F278" s="310">
        <v>5830</v>
      </c>
      <c r="G278" s="306">
        <v>9</v>
      </c>
      <c r="H278" s="306">
        <f t="shared" ref="H278:H321" si="208">G278*F278</f>
        <v>52470</v>
      </c>
      <c r="I278" s="306">
        <f t="shared" ref="I278:I321" si="209">G278*(1+$K$9)</f>
        <v>11.23</v>
      </c>
      <c r="J278" s="306">
        <f t="shared" ref="J278:J321" si="210">I278*F278</f>
        <v>65470.9</v>
      </c>
      <c r="K278" s="306"/>
      <c r="M278" s="252"/>
      <c r="N278" s="252"/>
      <c r="O278" s="377" t="s">
        <v>205</v>
      </c>
      <c r="P278" s="377" t="s">
        <v>205</v>
      </c>
      <c r="Q278" s="378">
        <v>5830</v>
      </c>
      <c r="R278" s="379" t="s">
        <v>3</v>
      </c>
    </row>
    <row r="279" spans="2:18" ht="15">
      <c r="B279" s="265">
        <v>91934</v>
      </c>
      <c r="C279" s="332" t="s">
        <v>657</v>
      </c>
      <c r="D279" s="375" t="s">
        <v>206</v>
      </c>
      <c r="E279" s="376" t="s">
        <v>3</v>
      </c>
      <c r="F279" s="310">
        <v>2420</v>
      </c>
      <c r="G279" s="306">
        <v>15.1</v>
      </c>
      <c r="H279" s="306">
        <f t="shared" si="208"/>
        <v>36542</v>
      </c>
      <c r="I279" s="306">
        <f t="shared" si="209"/>
        <v>18.850000000000001</v>
      </c>
      <c r="J279" s="306">
        <f t="shared" si="210"/>
        <v>45617</v>
      </c>
      <c r="K279" s="306"/>
      <c r="M279" s="252"/>
      <c r="N279" s="252"/>
      <c r="O279" s="377" t="s">
        <v>206</v>
      </c>
      <c r="P279" s="377" t="s">
        <v>206</v>
      </c>
      <c r="Q279" s="378">
        <v>2420</v>
      </c>
      <c r="R279" s="379" t="s">
        <v>3</v>
      </c>
    </row>
    <row r="280" spans="2:18" ht="15">
      <c r="B280" s="265">
        <v>91926</v>
      </c>
      <c r="C280" s="332" t="s">
        <v>658</v>
      </c>
      <c r="D280" s="375" t="s">
        <v>207</v>
      </c>
      <c r="E280" s="376" t="s">
        <v>3</v>
      </c>
      <c r="F280" s="310">
        <v>11810</v>
      </c>
      <c r="G280" s="306">
        <v>3</v>
      </c>
      <c r="H280" s="306">
        <f t="shared" si="208"/>
        <v>35430</v>
      </c>
      <c r="I280" s="306">
        <f t="shared" si="209"/>
        <v>3.74</v>
      </c>
      <c r="J280" s="306">
        <f t="shared" si="210"/>
        <v>44169.4</v>
      </c>
      <c r="K280" s="306"/>
      <c r="M280" s="252"/>
      <c r="N280" s="252"/>
      <c r="O280" s="377" t="s">
        <v>207</v>
      </c>
      <c r="P280" s="377" t="s">
        <v>207</v>
      </c>
      <c r="Q280" s="378">
        <v>11810</v>
      </c>
      <c r="R280" s="379" t="s">
        <v>3</v>
      </c>
    </row>
    <row r="281" spans="2:18" ht="15">
      <c r="B281" s="265">
        <v>92983</v>
      </c>
      <c r="C281" s="332" t="s">
        <v>659</v>
      </c>
      <c r="D281" s="375" t="s">
        <v>208</v>
      </c>
      <c r="E281" s="376" t="s">
        <v>3</v>
      </c>
      <c r="F281" s="310">
        <v>2345</v>
      </c>
      <c r="G281" s="306">
        <v>13</v>
      </c>
      <c r="H281" s="306">
        <f t="shared" si="208"/>
        <v>30485</v>
      </c>
      <c r="I281" s="306">
        <f t="shared" si="209"/>
        <v>16.23</v>
      </c>
      <c r="J281" s="306">
        <f t="shared" si="210"/>
        <v>38059.35</v>
      </c>
      <c r="K281" s="306"/>
      <c r="M281" s="252"/>
      <c r="N281" s="252"/>
      <c r="O281" s="377" t="s">
        <v>208</v>
      </c>
      <c r="P281" s="377" t="s">
        <v>208</v>
      </c>
      <c r="Q281" s="378">
        <v>2345</v>
      </c>
      <c r="R281" s="379" t="s">
        <v>3</v>
      </c>
    </row>
    <row r="282" spans="2:18" ht="15">
      <c r="B282" s="265">
        <v>91928</v>
      </c>
      <c r="C282" s="332" t="s">
        <v>660</v>
      </c>
      <c r="D282" s="375" t="s">
        <v>209</v>
      </c>
      <c r="E282" s="376" t="s">
        <v>3</v>
      </c>
      <c r="F282" s="310">
        <v>3750</v>
      </c>
      <c r="G282" s="306">
        <v>4.5</v>
      </c>
      <c r="H282" s="306">
        <f t="shared" si="208"/>
        <v>16875</v>
      </c>
      <c r="I282" s="306">
        <f t="shared" si="209"/>
        <v>5.62</v>
      </c>
      <c r="J282" s="306">
        <f t="shared" si="210"/>
        <v>21075</v>
      </c>
      <c r="K282" s="306"/>
      <c r="M282" s="252"/>
      <c r="N282" s="252"/>
      <c r="O282" s="377" t="s">
        <v>209</v>
      </c>
      <c r="P282" s="377" t="s">
        <v>209</v>
      </c>
      <c r="Q282" s="378">
        <v>3750</v>
      </c>
      <c r="R282" s="379" t="s">
        <v>3</v>
      </c>
    </row>
    <row r="283" spans="2:18" ht="15">
      <c r="B283" s="265">
        <v>91930</v>
      </c>
      <c r="C283" s="332" t="s">
        <v>661</v>
      </c>
      <c r="D283" s="375" t="s">
        <v>210</v>
      </c>
      <c r="E283" s="376" t="s">
        <v>3</v>
      </c>
      <c r="F283" s="310">
        <v>1650</v>
      </c>
      <c r="G283" s="306">
        <v>5</v>
      </c>
      <c r="H283" s="306">
        <f t="shared" si="208"/>
        <v>8250</v>
      </c>
      <c r="I283" s="306">
        <f t="shared" si="209"/>
        <v>6.24</v>
      </c>
      <c r="J283" s="306">
        <f t="shared" si="210"/>
        <v>10296</v>
      </c>
      <c r="K283" s="306"/>
      <c r="M283" s="252"/>
      <c r="N283" s="252"/>
      <c r="O283" s="377" t="s">
        <v>210</v>
      </c>
      <c r="P283" s="377" t="s">
        <v>210</v>
      </c>
      <c r="Q283" s="378">
        <v>1650</v>
      </c>
      <c r="R283" s="379" t="s">
        <v>3</v>
      </c>
    </row>
    <row r="284" spans="2:18">
      <c r="B284" s="265"/>
      <c r="C284" s="332"/>
      <c r="D284" s="375" t="s">
        <v>211</v>
      </c>
      <c r="E284" s="375"/>
      <c r="F284" s="310"/>
      <c r="G284" s="306"/>
      <c r="H284" s="306"/>
      <c r="I284" s="306"/>
      <c r="J284" s="306"/>
      <c r="K284" s="306"/>
      <c r="L284" s="264"/>
    </row>
    <row r="285" spans="2:18">
      <c r="B285" s="265"/>
      <c r="C285" s="332"/>
      <c r="D285" s="375" t="s">
        <v>175</v>
      </c>
      <c r="E285" s="375"/>
      <c r="F285" s="310"/>
      <c r="G285" s="306"/>
      <c r="H285" s="306"/>
      <c r="I285" s="306"/>
      <c r="J285" s="306"/>
      <c r="K285" s="306"/>
      <c r="L285" s="264"/>
    </row>
    <row r="286" spans="2:18" ht="25.15" customHeight="1">
      <c r="B286" s="265">
        <v>83447</v>
      </c>
      <c r="C286" s="268" t="s">
        <v>662</v>
      </c>
      <c r="D286" s="273" t="s">
        <v>236</v>
      </c>
      <c r="E286" s="376" t="s">
        <v>252</v>
      </c>
      <c r="F286" s="310">
        <v>28</v>
      </c>
      <c r="G286" s="306">
        <v>156.38</v>
      </c>
      <c r="H286" s="306">
        <f t="shared" si="208"/>
        <v>4378.6400000000003</v>
      </c>
      <c r="I286" s="306">
        <f t="shared" si="209"/>
        <v>195.19</v>
      </c>
      <c r="J286" s="306">
        <f t="shared" si="210"/>
        <v>5465.32</v>
      </c>
      <c r="K286" s="306"/>
      <c r="L286" s="264"/>
      <c r="O286" s="272"/>
      <c r="P286" s="264"/>
      <c r="R286" s="355"/>
    </row>
    <row r="287" spans="2:18" ht="24.75" customHeight="1">
      <c r="B287" s="265">
        <v>83366</v>
      </c>
      <c r="C287" s="268" t="s">
        <v>663</v>
      </c>
      <c r="D287" s="375" t="s">
        <v>891</v>
      </c>
      <c r="E287" s="375" t="s">
        <v>6</v>
      </c>
      <c r="F287" s="310">
        <f>24+10</f>
        <v>34</v>
      </c>
      <c r="G287" s="306">
        <v>62</v>
      </c>
      <c r="H287" s="306">
        <f>G287*F287</f>
        <v>2108</v>
      </c>
      <c r="I287" s="306">
        <f>G287*(1+$K$9)</f>
        <v>77.39</v>
      </c>
      <c r="J287" s="306">
        <f>I287*F287</f>
        <v>2631.26</v>
      </c>
      <c r="K287" s="306"/>
      <c r="L287" s="264"/>
      <c r="O287" s="272"/>
      <c r="P287" s="264"/>
      <c r="R287" s="355"/>
    </row>
    <row r="288" spans="2:18" ht="23.25" customHeight="1">
      <c r="B288" s="265">
        <v>83366</v>
      </c>
      <c r="C288" s="268" t="s">
        <v>664</v>
      </c>
      <c r="D288" s="375" t="s">
        <v>892</v>
      </c>
      <c r="E288" s="375" t="s">
        <v>6</v>
      </c>
      <c r="F288" s="310">
        <v>89</v>
      </c>
      <c r="G288" s="306">
        <v>62</v>
      </c>
      <c r="H288" s="306">
        <f>G288*F288</f>
        <v>5518</v>
      </c>
      <c r="I288" s="306">
        <f>G288*(1+$K$9)</f>
        <v>77.39</v>
      </c>
      <c r="J288" s="306">
        <f>I288*F288</f>
        <v>6887.71</v>
      </c>
      <c r="K288" s="306"/>
      <c r="L288" s="264"/>
      <c r="O288" s="272"/>
      <c r="P288" s="264"/>
      <c r="R288" s="355"/>
    </row>
    <row r="289" spans="2:18">
      <c r="B289" s="252"/>
      <c r="F289" s="252"/>
      <c r="G289" s="252"/>
      <c r="H289" s="252"/>
      <c r="I289" s="252"/>
      <c r="J289" s="252"/>
      <c r="K289" s="306"/>
      <c r="L289" s="264"/>
      <c r="O289" s="272"/>
      <c r="P289" s="355">
        <f t="shared" ref="P289" si="211">O289*N289</f>
        <v>0</v>
      </c>
      <c r="Q289" s="355">
        <f t="shared" ref="Q289" si="212">O289*(1+$K$9)</f>
        <v>0</v>
      </c>
      <c r="R289" s="355">
        <f t="shared" ref="R289" si="213">Q289*N289</f>
        <v>0</v>
      </c>
    </row>
    <row r="290" spans="2:18">
      <c r="B290" s="265"/>
      <c r="C290" s="332"/>
      <c r="D290" s="375" t="s">
        <v>212</v>
      </c>
      <c r="E290" s="376"/>
      <c r="F290" s="310"/>
      <c r="G290" s="306"/>
      <c r="H290" s="306"/>
      <c r="I290" s="306"/>
      <c r="J290" s="306"/>
      <c r="K290" s="306"/>
      <c r="L290" s="264"/>
    </row>
    <row r="291" spans="2:18">
      <c r="B291" s="265"/>
      <c r="C291" s="332"/>
      <c r="D291" s="375" t="s">
        <v>213</v>
      </c>
      <c r="E291" s="375"/>
      <c r="F291" s="310"/>
      <c r="G291" s="306"/>
      <c r="H291" s="306"/>
      <c r="I291" s="306"/>
      <c r="J291" s="306"/>
      <c r="K291" s="306"/>
      <c r="L291" s="264"/>
    </row>
    <row r="292" spans="2:18" ht="25.5">
      <c r="B292" s="265">
        <v>93663</v>
      </c>
      <c r="C292" s="268" t="s">
        <v>664</v>
      </c>
      <c r="D292" s="263" t="s">
        <v>893</v>
      </c>
      <c r="E292" s="375" t="s">
        <v>6</v>
      </c>
      <c r="F292" s="310">
        <v>32</v>
      </c>
      <c r="G292" s="306">
        <v>54.75</v>
      </c>
      <c r="H292" s="306">
        <f t="shared" si="208"/>
        <v>1752</v>
      </c>
      <c r="I292" s="306">
        <f t="shared" si="209"/>
        <v>68.34</v>
      </c>
      <c r="J292" s="306">
        <f t="shared" si="210"/>
        <v>2186.88</v>
      </c>
      <c r="K292" s="306"/>
      <c r="L292" s="264"/>
    </row>
    <row r="293" spans="2:18" ht="25.5">
      <c r="B293" s="265">
        <v>93663</v>
      </c>
      <c r="C293" s="268" t="s">
        <v>664</v>
      </c>
      <c r="D293" s="263" t="s">
        <v>894</v>
      </c>
      <c r="E293" s="375" t="s">
        <v>6</v>
      </c>
      <c r="F293" s="310">
        <v>29</v>
      </c>
      <c r="G293" s="306">
        <v>54.75</v>
      </c>
      <c r="H293" s="306">
        <f t="shared" ref="H293:H294" si="214">G293*F293</f>
        <v>1587.75</v>
      </c>
      <c r="I293" s="306">
        <f t="shared" ref="I293:I294" si="215">G293*(1+$K$9)</f>
        <v>68.34</v>
      </c>
      <c r="J293" s="306">
        <f t="shared" ref="J293:J294" si="216">I293*F293</f>
        <v>1981.86</v>
      </c>
      <c r="K293" s="306"/>
      <c r="L293" s="264"/>
    </row>
    <row r="294" spans="2:18" ht="25.5">
      <c r="B294" s="265">
        <v>93663</v>
      </c>
      <c r="C294" s="268" t="s">
        <v>664</v>
      </c>
      <c r="D294" s="263" t="s">
        <v>895</v>
      </c>
      <c r="E294" s="375" t="s">
        <v>6</v>
      </c>
      <c r="F294" s="310">
        <v>5</v>
      </c>
      <c r="G294" s="306">
        <v>54.75</v>
      </c>
      <c r="H294" s="306">
        <f t="shared" si="214"/>
        <v>273.75</v>
      </c>
      <c r="I294" s="306">
        <f t="shared" si="215"/>
        <v>68.34</v>
      </c>
      <c r="J294" s="306">
        <f t="shared" si="216"/>
        <v>341.7</v>
      </c>
      <c r="K294" s="306"/>
      <c r="L294" s="264"/>
    </row>
    <row r="295" spans="2:18">
      <c r="B295" s="265"/>
      <c r="C295" s="332"/>
      <c r="E295" s="375"/>
      <c r="F295" s="310"/>
      <c r="G295" s="306"/>
      <c r="H295" s="306"/>
      <c r="I295" s="306"/>
      <c r="J295" s="306"/>
      <c r="K295" s="306"/>
      <c r="L295" s="264"/>
    </row>
    <row r="296" spans="2:18">
      <c r="B296" s="265"/>
      <c r="C296" s="332"/>
      <c r="D296" s="375" t="s">
        <v>908</v>
      </c>
      <c r="E296" s="375"/>
      <c r="F296" s="310"/>
      <c r="G296" s="306"/>
      <c r="H296" s="306"/>
      <c r="I296" s="306"/>
      <c r="J296" s="306"/>
      <c r="K296" s="306"/>
      <c r="L296" s="264"/>
    </row>
    <row r="297" spans="2:18" ht="38.25">
      <c r="B297" s="265">
        <v>95779</v>
      </c>
      <c r="C297" s="268" t="s">
        <v>665</v>
      </c>
      <c r="D297" s="266" t="s">
        <v>909</v>
      </c>
      <c r="E297" s="375" t="s">
        <v>6</v>
      </c>
      <c r="F297" s="310">
        <v>179</v>
      </c>
      <c r="G297" s="306">
        <f>19.2+14.32</f>
        <v>33.520000000000003</v>
      </c>
      <c r="H297" s="306">
        <f t="shared" ref="H297" si="217">G297*F297</f>
        <v>6000.08</v>
      </c>
      <c r="I297" s="306">
        <f t="shared" ref="I297" si="218">G297*(1+$K$9)</f>
        <v>41.84</v>
      </c>
      <c r="J297" s="306">
        <f t="shared" ref="J297" si="219">I297*F297</f>
        <v>7489.36</v>
      </c>
      <c r="K297" s="306"/>
      <c r="L297" s="264"/>
    </row>
    <row r="298" spans="2:18">
      <c r="B298" s="265"/>
      <c r="C298" s="332"/>
      <c r="D298" s="375" t="s">
        <v>214</v>
      </c>
      <c r="E298" s="376"/>
      <c r="F298" s="310"/>
      <c r="G298" s="306"/>
      <c r="H298" s="306"/>
      <c r="I298" s="306"/>
      <c r="J298" s="306"/>
      <c r="K298" s="306"/>
      <c r="L298" s="264"/>
    </row>
    <row r="299" spans="2:18" ht="38.25">
      <c r="B299" s="265">
        <v>95777</v>
      </c>
      <c r="C299" s="268" t="s">
        <v>666</v>
      </c>
      <c r="D299" s="263" t="s">
        <v>910</v>
      </c>
      <c r="E299" s="376" t="s">
        <v>234</v>
      </c>
      <c r="F299" s="310">
        <v>1382</v>
      </c>
      <c r="G299" s="306">
        <v>36.159999999999997</v>
      </c>
      <c r="H299" s="306">
        <f t="shared" si="208"/>
        <v>49973.120000000003</v>
      </c>
      <c r="I299" s="306">
        <f t="shared" si="209"/>
        <v>45.13</v>
      </c>
      <c r="J299" s="306">
        <f t="shared" si="210"/>
        <v>62369.66</v>
      </c>
      <c r="K299" s="306"/>
      <c r="L299" s="264"/>
    </row>
    <row r="300" spans="2:18">
      <c r="B300" s="265"/>
      <c r="C300" s="332"/>
      <c r="D300" s="375" t="s">
        <v>215</v>
      </c>
      <c r="E300" s="375"/>
      <c r="F300" s="310"/>
      <c r="G300" s="306"/>
      <c r="H300" s="306"/>
      <c r="I300" s="306"/>
      <c r="J300" s="306"/>
      <c r="K300" s="306"/>
      <c r="L300" s="264"/>
    </row>
    <row r="301" spans="2:18">
      <c r="B301" s="265"/>
      <c r="C301" s="332"/>
      <c r="D301" s="375" t="s">
        <v>216</v>
      </c>
      <c r="E301" s="375"/>
      <c r="F301" s="310"/>
      <c r="G301" s="306"/>
      <c r="H301" s="306"/>
      <c r="I301" s="306"/>
      <c r="J301" s="306"/>
      <c r="K301" s="306"/>
      <c r="L301" s="264"/>
    </row>
    <row r="302" spans="2:18">
      <c r="B302" s="265">
        <v>93653</v>
      </c>
      <c r="C302" s="268" t="s">
        <v>667</v>
      </c>
      <c r="D302" s="375" t="s">
        <v>217</v>
      </c>
      <c r="E302" s="376" t="s">
        <v>234</v>
      </c>
      <c r="F302" s="310">
        <v>62</v>
      </c>
      <c r="G302" s="306">
        <v>62</v>
      </c>
      <c r="H302" s="306">
        <f t="shared" si="208"/>
        <v>3844</v>
      </c>
      <c r="I302" s="306">
        <f t="shared" si="209"/>
        <v>77.39</v>
      </c>
      <c r="J302" s="306">
        <f t="shared" si="210"/>
        <v>4798.18</v>
      </c>
      <c r="K302" s="306"/>
      <c r="L302" s="264"/>
    </row>
    <row r="303" spans="2:18">
      <c r="B303" s="265">
        <v>93655</v>
      </c>
      <c r="C303" s="268" t="s">
        <v>668</v>
      </c>
      <c r="D303" s="375" t="s">
        <v>218</v>
      </c>
      <c r="E303" s="376" t="s">
        <v>234</v>
      </c>
      <c r="F303" s="310">
        <v>44</v>
      </c>
      <c r="G303" s="306">
        <v>62</v>
      </c>
      <c r="H303" s="306">
        <f t="shared" si="208"/>
        <v>2728</v>
      </c>
      <c r="I303" s="306">
        <f t="shared" si="209"/>
        <v>77.39</v>
      </c>
      <c r="J303" s="306">
        <f t="shared" si="210"/>
        <v>3405.16</v>
      </c>
      <c r="K303" s="306"/>
      <c r="L303" s="264"/>
    </row>
    <row r="304" spans="2:18">
      <c r="B304" s="265">
        <v>93665</v>
      </c>
      <c r="C304" s="268" t="s">
        <v>669</v>
      </c>
      <c r="D304" s="375" t="s">
        <v>219</v>
      </c>
      <c r="E304" s="376" t="s">
        <v>234</v>
      </c>
      <c r="F304" s="310">
        <v>13</v>
      </c>
      <c r="G304" s="306">
        <v>62</v>
      </c>
      <c r="H304" s="306">
        <f t="shared" si="208"/>
        <v>806</v>
      </c>
      <c r="I304" s="306">
        <f t="shared" si="209"/>
        <v>77.39</v>
      </c>
      <c r="J304" s="306">
        <f t="shared" si="210"/>
        <v>1006.07</v>
      </c>
      <c r="K304" s="306"/>
      <c r="L304" s="264"/>
    </row>
    <row r="305" spans="2:12">
      <c r="B305" s="265">
        <v>93658</v>
      </c>
      <c r="C305" s="268" t="s">
        <v>670</v>
      </c>
      <c r="D305" s="375" t="s">
        <v>220</v>
      </c>
      <c r="E305" s="376" t="s">
        <v>234</v>
      </c>
      <c r="F305" s="310">
        <v>7</v>
      </c>
      <c r="G305" s="306">
        <v>62</v>
      </c>
      <c r="H305" s="306">
        <f t="shared" si="208"/>
        <v>434</v>
      </c>
      <c r="I305" s="306">
        <f t="shared" si="209"/>
        <v>77.39</v>
      </c>
      <c r="J305" s="306">
        <f t="shared" si="210"/>
        <v>541.73</v>
      </c>
      <c r="K305" s="306"/>
      <c r="L305" s="264"/>
    </row>
    <row r="306" spans="2:12">
      <c r="B306" s="265">
        <v>93658</v>
      </c>
      <c r="C306" s="268" t="s">
        <v>671</v>
      </c>
      <c r="D306" s="375" t="s">
        <v>896</v>
      </c>
      <c r="E306" s="376" t="s">
        <v>234</v>
      </c>
      <c r="F306" s="310">
        <v>4</v>
      </c>
      <c r="G306" s="306">
        <v>62</v>
      </c>
      <c r="H306" s="306">
        <f t="shared" si="208"/>
        <v>248</v>
      </c>
      <c r="I306" s="306">
        <f t="shared" si="209"/>
        <v>77.39</v>
      </c>
      <c r="J306" s="306">
        <f t="shared" si="210"/>
        <v>309.56</v>
      </c>
      <c r="K306" s="306"/>
      <c r="L306" s="264"/>
    </row>
    <row r="307" spans="2:12">
      <c r="B307" s="265" t="s">
        <v>898</v>
      </c>
      <c r="C307" s="268" t="s">
        <v>672</v>
      </c>
      <c r="D307" s="375" t="s">
        <v>897</v>
      </c>
      <c r="E307" s="376" t="s">
        <v>234</v>
      </c>
      <c r="F307" s="310">
        <v>2</v>
      </c>
      <c r="G307" s="306">
        <v>120</v>
      </c>
      <c r="H307" s="306">
        <f t="shared" si="208"/>
        <v>240</v>
      </c>
      <c r="I307" s="306">
        <f t="shared" si="209"/>
        <v>149.78</v>
      </c>
      <c r="J307" s="306">
        <f t="shared" si="210"/>
        <v>299.56</v>
      </c>
      <c r="K307" s="306"/>
      <c r="L307" s="264"/>
    </row>
    <row r="308" spans="2:12">
      <c r="B308" s="265"/>
      <c r="C308" s="268"/>
      <c r="E308" s="376"/>
      <c r="F308" s="310"/>
      <c r="G308" s="306"/>
      <c r="H308" s="306"/>
      <c r="I308" s="306"/>
      <c r="J308" s="306"/>
      <c r="K308" s="306"/>
      <c r="L308" s="264"/>
    </row>
    <row r="309" spans="2:12">
      <c r="B309" s="265"/>
      <c r="C309" s="332"/>
      <c r="D309" s="375" t="s">
        <v>221</v>
      </c>
      <c r="E309" s="375"/>
      <c r="F309" s="310"/>
      <c r="G309" s="306"/>
      <c r="H309" s="306">
        <f t="shared" si="208"/>
        <v>0</v>
      </c>
      <c r="I309" s="306">
        <f t="shared" si="209"/>
        <v>0</v>
      </c>
      <c r="J309" s="306">
        <f t="shared" si="210"/>
        <v>0</v>
      </c>
      <c r="K309" s="306"/>
      <c r="L309" s="264"/>
    </row>
    <row r="310" spans="2:12">
      <c r="B310" s="265"/>
      <c r="C310" s="332"/>
      <c r="D310" s="375" t="s">
        <v>222</v>
      </c>
      <c r="E310" s="375"/>
      <c r="F310" s="310"/>
      <c r="G310" s="306"/>
      <c r="H310" s="306">
        <f t="shared" si="208"/>
        <v>0</v>
      </c>
      <c r="I310" s="306">
        <f t="shared" si="209"/>
        <v>0</v>
      </c>
      <c r="J310" s="306">
        <f t="shared" si="210"/>
        <v>0</v>
      </c>
      <c r="K310" s="306"/>
      <c r="L310" s="264"/>
    </row>
    <row r="311" spans="2:12">
      <c r="B311" s="265">
        <v>91846</v>
      </c>
      <c r="C311" s="268" t="s">
        <v>671</v>
      </c>
      <c r="D311" s="375" t="s">
        <v>36</v>
      </c>
      <c r="E311" s="376" t="s">
        <v>3</v>
      </c>
      <c r="F311" s="310">
        <v>690</v>
      </c>
      <c r="G311" s="306">
        <v>6.5</v>
      </c>
      <c r="H311" s="306">
        <f t="shared" si="208"/>
        <v>4485</v>
      </c>
      <c r="I311" s="306">
        <f t="shared" si="209"/>
        <v>8.11</v>
      </c>
      <c r="J311" s="306">
        <f t="shared" si="210"/>
        <v>5595.9</v>
      </c>
      <c r="K311" s="306"/>
      <c r="L311" s="264"/>
    </row>
    <row r="312" spans="2:12">
      <c r="B312" s="265">
        <v>91834</v>
      </c>
      <c r="C312" s="268" t="s">
        <v>672</v>
      </c>
      <c r="D312" s="375" t="s">
        <v>35</v>
      </c>
      <c r="E312" s="376" t="s">
        <v>3</v>
      </c>
      <c r="F312" s="310">
        <v>1980</v>
      </c>
      <c r="G312" s="306">
        <v>4</v>
      </c>
      <c r="H312" s="306">
        <f t="shared" si="208"/>
        <v>7920</v>
      </c>
      <c r="I312" s="306">
        <f t="shared" si="209"/>
        <v>4.99</v>
      </c>
      <c r="J312" s="306">
        <f t="shared" si="210"/>
        <v>9880.2000000000007</v>
      </c>
      <c r="K312" s="306"/>
      <c r="L312" s="264"/>
    </row>
    <row r="313" spans="2:12">
      <c r="B313" s="265" t="s">
        <v>900</v>
      </c>
      <c r="C313" s="268" t="s">
        <v>673</v>
      </c>
      <c r="D313" s="375" t="s">
        <v>34</v>
      </c>
      <c r="E313" s="376" t="s">
        <v>3</v>
      </c>
      <c r="F313" s="310">
        <v>26</v>
      </c>
      <c r="G313" s="306">
        <v>8.5</v>
      </c>
      <c r="H313" s="306">
        <f t="shared" si="208"/>
        <v>221</v>
      </c>
      <c r="I313" s="306">
        <f t="shared" si="209"/>
        <v>10.61</v>
      </c>
      <c r="J313" s="306">
        <f t="shared" si="210"/>
        <v>275.86</v>
      </c>
      <c r="K313" s="306"/>
      <c r="L313" s="264"/>
    </row>
    <row r="314" spans="2:12">
      <c r="B314" s="265" t="s">
        <v>901</v>
      </c>
      <c r="C314" s="268" t="s">
        <v>674</v>
      </c>
      <c r="D314" s="375" t="s">
        <v>223</v>
      </c>
      <c r="E314" s="376" t="s">
        <v>3</v>
      </c>
      <c r="F314" s="310">
        <v>30</v>
      </c>
      <c r="G314" s="306">
        <v>14.13</v>
      </c>
      <c r="H314" s="306">
        <f t="shared" si="208"/>
        <v>423.9</v>
      </c>
      <c r="I314" s="306">
        <f t="shared" si="209"/>
        <v>17.64</v>
      </c>
      <c r="J314" s="306">
        <f t="shared" si="210"/>
        <v>529.20000000000005</v>
      </c>
      <c r="K314" s="306"/>
      <c r="L314" s="264"/>
    </row>
    <row r="315" spans="2:12">
      <c r="B315" s="265" t="s">
        <v>903</v>
      </c>
      <c r="C315" s="268" t="s">
        <v>675</v>
      </c>
      <c r="D315" s="375" t="s">
        <v>133</v>
      </c>
      <c r="E315" s="376" t="s">
        <v>3</v>
      </c>
      <c r="F315" s="310">
        <v>410</v>
      </c>
      <c r="G315" s="306">
        <v>17.329999999999998</v>
      </c>
      <c r="H315" s="306">
        <f t="shared" si="208"/>
        <v>7105.3</v>
      </c>
      <c r="I315" s="306">
        <f t="shared" si="209"/>
        <v>21.63</v>
      </c>
      <c r="J315" s="306">
        <f t="shared" si="210"/>
        <v>8868.2999999999993</v>
      </c>
      <c r="K315" s="306"/>
      <c r="L315" s="264"/>
    </row>
    <row r="316" spans="2:12">
      <c r="B316" s="265"/>
      <c r="C316" s="332"/>
      <c r="D316" s="375" t="s">
        <v>899</v>
      </c>
      <c r="E316" s="376"/>
      <c r="F316" s="310"/>
      <c r="G316" s="306"/>
      <c r="H316" s="306">
        <f t="shared" si="208"/>
        <v>0</v>
      </c>
      <c r="I316" s="306">
        <f t="shared" si="209"/>
        <v>0</v>
      </c>
      <c r="J316" s="306">
        <f t="shared" si="210"/>
        <v>0</v>
      </c>
      <c r="K316" s="306"/>
      <c r="L316" s="264"/>
    </row>
    <row r="317" spans="2:12">
      <c r="B317" s="265"/>
      <c r="C317" s="332"/>
      <c r="D317" s="375" t="s">
        <v>902</v>
      </c>
      <c r="E317" s="375"/>
      <c r="F317" s="310"/>
      <c r="G317" s="306"/>
      <c r="H317" s="306">
        <f t="shared" si="208"/>
        <v>0</v>
      </c>
      <c r="I317" s="306">
        <f t="shared" si="209"/>
        <v>0</v>
      </c>
      <c r="J317" s="306">
        <f t="shared" si="210"/>
        <v>0</v>
      </c>
      <c r="K317" s="306"/>
      <c r="L317" s="264"/>
    </row>
    <row r="318" spans="2:12">
      <c r="B318" s="265" t="s">
        <v>904</v>
      </c>
      <c r="C318" s="268" t="s">
        <v>676</v>
      </c>
      <c r="D318" s="375" t="s">
        <v>36</v>
      </c>
      <c r="E318" s="376" t="s">
        <v>3</v>
      </c>
      <c r="F318" s="310">
        <v>196</v>
      </c>
      <c r="G318" s="306">
        <v>9.94</v>
      </c>
      <c r="H318" s="306">
        <f t="shared" si="208"/>
        <v>1948.24</v>
      </c>
      <c r="I318" s="306">
        <f t="shared" si="209"/>
        <v>12.41</v>
      </c>
      <c r="J318" s="306">
        <f t="shared" si="210"/>
        <v>2432.36</v>
      </c>
      <c r="K318" s="306"/>
      <c r="L318" s="264"/>
    </row>
    <row r="319" spans="2:12">
      <c r="B319" s="265" t="s">
        <v>905</v>
      </c>
      <c r="C319" s="268" t="s">
        <v>677</v>
      </c>
      <c r="D319" s="375" t="s">
        <v>34</v>
      </c>
      <c r="E319" s="376" t="s">
        <v>3</v>
      </c>
      <c r="F319" s="310">
        <v>300</v>
      </c>
      <c r="G319" s="306">
        <v>12.3</v>
      </c>
      <c r="H319" s="306">
        <f t="shared" si="208"/>
        <v>3690</v>
      </c>
      <c r="I319" s="306">
        <f t="shared" si="209"/>
        <v>15.35</v>
      </c>
      <c r="J319" s="306">
        <f t="shared" si="210"/>
        <v>4605</v>
      </c>
      <c r="K319" s="306"/>
      <c r="L319" s="264"/>
    </row>
    <row r="320" spans="2:12">
      <c r="B320" s="265">
        <v>93009</v>
      </c>
      <c r="C320" s="268" t="s">
        <v>678</v>
      </c>
      <c r="D320" s="375" t="s">
        <v>223</v>
      </c>
      <c r="E320" s="376" t="s">
        <v>3</v>
      </c>
      <c r="F320" s="310">
        <v>473</v>
      </c>
      <c r="G320" s="306">
        <v>13</v>
      </c>
      <c r="H320" s="306">
        <f t="shared" si="208"/>
        <v>6149</v>
      </c>
      <c r="I320" s="306">
        <f t="shared" si="209"/>
        <v>16.23</v>
      </c>
      <c r="J320" s="306">
        <f t="shared" si="210"/>
        <v>7676.79</v>
      </c>
      <c r="K320" s="306"/>
      <c r="L320" s="264"/>
    </row>
    <row r="321" spans="2:12">
      <c r="B321" s="265">
        <v>91871</v>
      </c>
      <c r="C321" s="268" t="s">
        <v>679</v>
      </c>
      <c r="D321" s="375" t="s">
        <v>35</v>
      </c>
      <c r="E321" s="376" t="s">
        <v>3</v>
      </c>
      <c r="F321" s="310">
        <v>4115</v>
      </c>
      <c r="G321" s="306">
        <v>6</v>
      </c>
      <c r="H321" s="306">
        <f t="shared" si="208"/>
        <v>24690</v>
      </c>
      <c r="I321" s="306">
        <f t="shared" si="209"/>
        <v>7.49</v>
      </c>
      <c r="J321" s="306">
        <f t="shared" si="210"/>
        <v>30821.35</v>
      </c>
      <c r="K321" s="306"/>
      <c r="L321" s="264"/>
    </row>
    <row r="322" spans="2:12">
      <c r="B322" s="265"/>
      <c r="C322" s="332"/>
      <c r="D322" s="375" t="s">
        <v>226</v>
      </c>
      <c r="E322" s="375"/>
      <c r="F322" s="310"/>
      <c r="G322" s="306"/>
      <c r="H322" s="306"/>
      <c r="I322" s="306"/>
      <c r="J322" s="306"/>
      <c r="K322" s="306"/>
      <c r="L322" s="264"/>
    </row>
    <row r="323" spans="2:12">
      <c r="B323" s="265"/>
      <c r="C323" s="332"/>
      <c r="D323" s="375" t="s">
        <v>238</v>
      </c>
      <c r="E323" s="375"/>
      <c r="F323" s="310"/>
      <c r="G323" s="306"/>
      <c r="H323" s="306"/>
      <c r="I323" s="306"/>
      <c r="J323" s="306"/>
      <c r="K323" s="306"/>
      <c r="L323" s="264"/>
    </row>
    <row r="324" spans="2:12">
      <c r="B324" s="265" t="s">
        <v>240</v>
      </c>
      <c r="C324" s="268" t="s">
        <v>678</v>
      </c>
      <c r="D324" s="375" t="s">
        <v>907</v>
      </c>
      <c r="E324" s="376" t="s">
        <v>234</v>
      </c>
      <c r="F324" s="310">
        <v>1013</v>
      </c>
      <c r="G324" s="306">
        <v>55</v>
      </c>
      <c r="H324" s="306">
        <f t="shared" ref="H324:H335" si="220">G324*F324</f>
        <v>55715</v>
      </c>
      <c r="I324" s="306">
        <f t="shared" ref="I324:I335" si="221">G324*(1+$K$9)</f>
        <v>68.650000000000006</v>
      </c>
      <c r="J324" s="306">
        <f t="shared" ref="J324:J335" si="222">I324*F324</f>
        <v>69542.45</v>
      </c>
      <c r="K324" s="306"/>
      <c r="L324" s="264"/>
    </row>
    <row r="325" spans="2:12" ht="23.25">
      <c r="B325" s="265"/>
      <c r="C325" s="268"/>
      <c r="D325" s="375" t="s">
        <v>906</v>
      </c>
      <c r="E325" s="376" t="s">
        <v>234</v>
      </c>
      <c r="F325" s="310">
        <v>1</v>
      </c>
      <c r="G325" s="306">
        <v>230</v>
      </c>
      <c r="H325" s="306">
        <f t="shared" ref="H325" si="223">G325*F325</f>
        <v>230</v>
      </c>
      <c r="I325" s="306">
        <f t="shared" ref="I325" si="224">G325*(1+$K$9)</f>
        <v>287.08999999999997</v>
      </c>
      <c r="J325" s="306">
        <f t="shared" ref="J325" si="225">I325*F325</f>
        <v>287.08999999999997</v>
      </c>
      <c r="K325" s="306"/>
      <c r="L325" s="380"/>
    </row>
    <row r="326" spans="2:12" ht="25.5">
      <c r="B326" s="265"/>
      <c r="C326" s="268"/>
      <c r="D326" s="375" t="s">
        <v>918</v>
      </c>
      <c r="E326" s="376" t="s">
        <v>234</v>
      </c>
      <c r="F326" s="310">
        <v>10</v>
      </c>
      <c r="G326" s="306">
        <v>500</v>
      </c>
      <c r="H326" s="306">
        <f t="shared" ref="H326" si="226">G326*F326</f>
        <v>5000</v>
      </c>
      <c r="I326" s="306">
        <f t="shared" ref="I326" si="227">G326*(1+$K$9)</f>
        <v>624.1</v>
      </c>
      <c r="J326" s="306">
        <f t="shared" ref="J326" si="228">I326*F326</f>
        <v>6241</v>
      </c>
      <c r="K326" s="306"/>
      <c r="L326" s="381"/>
    </row>
    <row r="327" spans="2:12" ht="30.75" customHeight="1">
      <c r="B327" s="265"/>
      <c r="C327" s="268"/>
      <c r="D327" s="375" t="s">
        <v>919</v>
      </c>
      <c r="E327" s="376" t="s">
        <v>234</v>
      </c>
      <c r="F327" s="310">
        <v>16</v>
      </c>
      <c r="G327" s="306">
        <v>120</v>
      </c>
      <c r="H327" s="306">
        <f t="shared" ref="H327" si="229">G327*F327</f>
        <v>1920</v>
      </c>
      <c r="I327" s="306">
        <f t="shared" ref="I327" si="230">G327*(1+$K$9)</f>
        <v>149.78</v>
      </c>
      <c r="J327" s="306">
        <f t="shared" ref="J327" si="231">I327*F327</f>
        <v>2396.48</v>
      </c>
      <c r="K327" s="306"/>
      <c r="L327" s="382"/>
    </row>
    <row r="328" spans="2:12">
      <c r="B328" s="265"/>
      <c r="C328" s="268"/>
      <c r="D328" s="375"/>
      <c r="E328" s="376"/>
      <c r="F328" s="310"/>
      <c r="G328" s="306"/>
      <c r="H328" s="306"/>
      <c r="I328" s="306"/>
      <c r="J328" s="306"/>
      <c r="K328" s="306"/>
      <c r="L328" s="264"/>
    </row>
    <row r="329" spans="2:12">
      <c r="B329" s="265"/>
      <c r="C329" s="332"/>
      <c r="E329" s="375"/>
      <c r="F329" s="310"/>
      <c r="G329" s="306"/>
      <c r="H329" s="306"/>
      <c r="I329" s="306"/>
      <c r="J329" s="306"/>
      <c r="K329" s="306"/>
      <c r="L329" s="264"/>
    </row>
    <row r="330" spans="2:12">
      <c r="B330" s="265"/>
      <c r="C330" s="332"/>
      <c r="D330" s="375" t="s">
        <v>227</v>
      </c>
      <c r="E330" s="375"/>
      <c r="F330" s="310"/>
      <c r="G330" s="306"/>
      <c r="H330" s="306"/>
      <c r="I330" s="306"/>
      <c r="J330" s="306"/>
      <c r="K330" s="306"/>
      <c r="L330" s="264"/>
    </row>
    <row r="331" spans="2:12">
      <c r="B331" s="265"/>
      <c r="C331" s="332"/>
      <c r="D331" s="375" t="s">
        <v>228</v>
      </c>
      <c r="E331" s="375"/>
      <c r="F331" s="310"/>
      <c r="G331" s="306"/>
      <c r="H331" s="306"/>
      <c r="I331" s="306"/>
      <c r="J331" s="306"/>
      <c r="K331" s="306"/>
      <c r="L331" s="264"/>
    </row>
    <row r="332" spans="2:12">
      <c r="B332" s="265"/>
      <c r="C332" s="268" t="s">
        <v>679</v>
      </c>
      <c r="D332" s="375" t="s">
        <v>229</v>
      </c>
      <c r="E332" s="376" t="s">
        <v>234</v>
      </c>
      <c r="F332" s="310">
        <v>6</v>
      </c>
      <c r="G332" s="306">
        <v>300</v>
      </c>
      <c r="H332" s="306">
        <f t="shared" si="220"/>
        <v>1800</v>
      </c>
      <c r="I332" s="306">
        <f t="shared" si="221"/>
        <v>374.46</v>
      </c>
      <c r="J332" s="306">
        <f t="shared" si="222"/>
        <v>2246.7600000000002</v>
      </c>
      <c r="K332" s="306"/>
      <c r="L332" s="264"/>
    </row>
    <row r="333" spans="2:12">
      <c r="B333" s="265" t="s">
        <v>239</v>
      </c>
      <c r="C333" s="268" t="s">
        <v>680</v>
      </c>
      <c r="D333" s="375" t="s">
        <v>230</v>
      </c>
      <c r="E333" s="376" t="s">
        <v>234</v>
      </c>
      <c r="F333" s="310">
        <v>3</v>
      </c>
      <c r="G333" s="306">
        <v>400</v>
      </c>
      <c r="H333" s="306">
        <f t="shared" si="220"/>
        <v>1200</v>
      </c>
      <c r="I333" s="306">
        <f t="shared" si="221"/>
        <v>499.28</v>
      </c>
      <c r="J333" s="306">
        <f t="shared" si="222"/>
        <v>1497.84</v>
      </c>
      <c r="K333" s="306"/>
      <c r="L333" s="264"/>
    </row>
    <row r="334" spans="2:12">
      <c r="B334" s="265"/>
      <c r="C334" s="332"/>
      <c r="D334" s="375" t="s">
        <v>231</v>
      </c>
      <c r="E334" s="375"/>
      <c r="F334" s="310"/>
      <c r="G334" s="306"/>
      <c r="H334" s="306"/>
      <c r="I334" s="306"/>
      <c r="J334" s="306"/>
      <c r="K334" s="306"/>
      <c r="L334" s="264"/>
    </row>
    <row r="335" spans="2:12">
      <c r="B335" s="265"/>
      <c r="C335" s="268" t="s">
        <v>681</v>
      </c>
      <c r="D335" s="375" t="s">
        <v>232</v>
      </c>
      <c r="E335" s="376" t="s">
        <v>234</v>
      </c>
      <c r="F335" s="310">
        <v>5</v>
      </c>
      <c r="G335" s="306">
        <v>500</v>
      </c>
      <c r="H335" s="306">
        <f t="shared" si="220"/>
        <v>2500</v>
      </c>
      <c r="I335" s="306">
        <f t="shared" si="221"/>
        <v>624.1</v>
      </c>
      <c r="J335" s="306">
        <f t="shared" si="222"/>
        <v>3120.5</v>
      </c>
      <c r="K335" s="306"/>
      <c r="L335" s="264"/>
    </row>
    <row r="336" spans="2:12">
      <c r="B336" s="265"/>
      <c r="C336" s="268"/>
      <c r="D336" s="375" t="s">
        <v>233</v>
      </c>
      <c r="E336" s="376"/>
      <c r="F336" s="310"/>
      <c r="G336" s="306"/>
      <c r="H336" s="306"/>
      <c r="I336" s="306"/>
      <c r="J336" s="306"/>
      <c r="K336" s="306"/>
      <c r="L336" s="264"/>
    </row>
    <row r="337" spans="2:15">
      <c r="B337" s="265"/>
      <c r="C337" s="268"/>
      <c r="E337" s="376"/>
      <c r="F337" s="310"/>
      <c r="G337" s="306"/>
      <c r="H337" s="306"/>
      <c r="I337" s="306"/>
      <c r="J337" s="306"/>
      <c r="K337" s="306"/>
      <c r="L337" s="264"/>
    </row>
    <row r="338" spans="2:15">
      <c r="B338" s="265"/>
      <c r="C338" s="332">
        <v>16</v>
      </c>
      <c r="D338" s="384" t="s">
        <v>551</v>
      </c>
      <c r="E338" s="332"/>
      <c r="F338" s="310"/>
      <c r="G338" s="306"/>
      <c r="H338" s="306"/>
      <c r="I338" s="306"/>
      <c r="J338" s="306"/>
      <c r="K338" s="306">
        <f>SUM(J338:J343)</f>
        <v>317399.55</v>
      </c>
      <c r="L338" s="264">
        <f>SUM(J338:J345)</f>
        <v>317399.55</v>
      </c>
    </row>
    <row r="339" spans="2:15" ht="25.5">
      <c r="B339" s="265" t="s">
        <v>552</v>
      </c>
      <c r="C339" s="332" t="s">
        <v>682</v>
      </c>
      <c r="D339" s="263" t="s">
        <v>553</v>
      </c>
      <c r="E339" s="332" t="s">
        <v>8</v>
      </c>
      <c r="F339" s="304">
        <v>1035</v>
      </c>
      <c r="G339" s="306">
        <v>25</v>
      </c>
      <c r="H339" s="306">
        <f t="shared" ref="H339" si="232">G339*F339</f>
        <v>25875</v>
      </c>
      <c r="I339" s="306">
        <f t="shared" ref="I339" si="233">G339*(1+$K$9)</f>
        <v>31.21</v>
      </c>
      <c r="J339" s="306">
        <f t="shared" ref="J339" si="234">I339*F339</f>
        <v>32302.35</v>
      </c>
      <c r="K339" s="306"/>
      <c r="L339" s="264"/>
    </row>
    <row r="340" spans="2:15" ht="25.5">
      <c r="B340" s="368" t="s">
        <v>981</v>
      </c>
      <c r="C340" s="332" t="s">
        <v>686</v>
      </c>
      <c r="D340" s="263" t="s">
        <v>980</v>
      </c>
      <c r="E340" s="332" t="s">
        <v>8</v>
      </c>
      <c r="F340" s="304">
        <v>9810</v>
      </c>
      <c r="G340" s="306">
        <v>2.1800000000000002</v>
      </c>
      <c r="H340" s="306">
        <f>G340*F340</f>
        <v>21385.8</v>
      </c>
      <c r="I340" s="306">
        <f>G340*(1+$K$9)</f>
        <v>2.72</v>
      </c>
      <c r="J340" s="306">
        <f>I340*F340</f>
        <v>26683.200000000001</v>
      </c>
      <c r="K340" s="306"/>
      <c r="L340" s="264"/>
    </row>
    <row r="341" spans="2:15" ht="15">
      <c r="B341" s="343" t="s">
        <v>984</v>
      </c>
      <c r="C341" s="332" t="s">
        <v>683</v>
      </c>
      <c r="D341" s="331" t="s">
        <v>1094</v>
      </c>
      <c r="E341" s="332" t="s">
        <v>8</v>
      </c>
      <c r="F341" s="304">
        <v>9810</v>
      </c>
      <c r="G341" s="306">
        <v>9.35</v>
      </c>
      <c r="H341" s="306">
        <f>G341*F341</f>
        <v>91723.5</v>
      </c>
      <c r="I341" s="306">
        <f>G341*(1+$K$9)</f>
        <v>11.67</v>
      </c>
      <c r="J341" s="306">
        <f>I341*F341</f>
        <v>114482.7</v>
      </c>
      <c r="K341" s="306"/>
      <c r="L341" s="264"/>
      <c r="N341" s="383"/>
      <c r="O341" s="226"/>
    </row>
    <row r="342" spans="2:15" ht="25.5">
      <c r="B342" s="368" t="s">
        <v>983</v>
      </c>
      <c r="C342" s="332" t="s">
        <v>1092</v>
      </c>
      <c r="D342" s="263" t="s">
        <v>982</v>
      </c>
      <c r="E342" s="332" t="s">
        <v>8</v>
      </c>
      <c r="F342" s="304">
        <v>9810</v>
      </c>
      <c r="G342" s="306">
        <v>11.24</v>
      </c>
      <c r="H342" s="306">
        <f t="shared" ref="H342" si="235">G342*F342</f>
        <v>110264.4</v>
      </c>
      <c r="I342" s="306">
        <f t="shared" ref="I342" si="236">G342*(1+$K$9)</f>
        <v>14.03</v>
      </c>
      <c r="J342" s="306">
        <f t="shared" ref="J342" si="237">I342*F342</f>
        <v>137634.29999999999</v>
      </c>
      <c r="K342" s="306"/>
      <c r="L342" s="264"/>
    </row>
    <row r="343" spans="2:15">
      <c r="B343" s="265" t="s">
        <v>684</v>
      </c>
      <c r="C343" s="332" t="s">
        <v>1093</v>
      </c>
      <c r="D343" s="332" t="s">
        <v>685</v>
      </c>
      <c r="E343" s="332" t="s">
        <v>8</v>
      </c>
      <c r="F343" s="300">
        <v>300</v>
      </c>
      <c r="G343" s="306">
        <v>16.82</v>
      </c>
      <c r="H343" s="306">
        <f t="shared" ref="H343" si="238">G343*F343</f>
        <v>5046</v>
      </c>
      <c r="I343" s="306">
        <f t="shared" ref="I343" si="239">G343*(1+$K$9)</f>
        <v>20.99</v>
      </c>
      <c r="J343" s="306">
        <f t="shared" ref="J343" si="240">I343*F343</f>
        <v>6297</v>
      </c>
      <c r="K343" s="306"/>
      <c r="L343" s="264"/>
    </row>
    <row r="344" spans="2:15">
      <c r="B344" s="265"/>
      <c r="D344" s="332"/>
      <c r="E344" s="332"/>
      <c r="F344" s="300"/>
      <c r="G344" s="306"/>
      <c r="H344" s="306"/>
      <c r="I344" s="306"/>
      <c r="J344" s="306"/>
      <c r="K344" s="306"/>
      <c r="L344" s="264"/>
    </row>
    <row r="345" spans="2:15">
      <c r="B345" s="265"/>
      <c r="C345" s="332">
        <v>17</v>
      </c>
      <c r="D345" s="332" t="s">
        <v>554</v>
      </c>
      <c r="E345" s="332"/>
      <c r="F345" s="300"/>
      <c r="G345" s="306"/>
      <c r="H345" s="306"/>
      <c r="I345" s="306"/>
      <c r="J345" s="306"/>
      <c r="K345" s="306">
        <f>J346</f>
        <v>404671.28</v>
      </c>
      <c r="L345" s="264"/>
    </row>
    <row r="346" spans="2:15" ht="38.25">
      <c r="B346" s="265" t="s">
        <v>787</v>
      </c>
      <c r="C346" s="332"/>
      <c r="D346" s="263" t="s">
        <v>1095</v>
      </c>
      <c r="E346" s="332" t="s">
        <v>8</v>
      </c>
      <c r="F346" s="304">
        <v>4472</v>
      </c>
      <c r="G346" s="306">
        <v>72.5</v>
      </c>
      <c r="H346" s="306">
        <f t="shared" ref="H346" si="241">G346*F346</f>
        <v>324220</v>
      </c>
      <c r="I346" s="306">
        <f t="shared" ref="I346" si="242">G346*(1+$K$9)</f>
        <v>90.49</v>
      </c>
      <c r="J346" s="306">
        <f t="shared" ref="J346" si="243">I346*F346</f>
        <v>404671.28</v>
      </c>
      <c r="K346" s="252"/>
      <c r="L346" s="264">
        <f>J346</f>
        <v>404671.28</v>
      </c>
    </row>
    <row r="347" spans="2:15">
      <c r="B347" s="252"/>
      <c r="C347" s="332"/>
      <c r="D347" s="332"/>
      <c r="E347" s="332"/>
      <c r="F347" s="304"/>
      <c r="G347" s="306"/>
      <c r="H347" s="306"/>
      <c r="I347" s="306"/>
      <c r="J347" s="306"/>
      <c r="K347" s="306"/>
      <c r="L347" s="264"/>
    </row>
    <row r="348" spans="2:15">
      <c r="B348" s="265"/>
      <c r="C348" s="332">
        <v>18</v>
      </c>
      <c r="D348" s="384" t="s">
        <v>687</v>
      </c>
      <c r="E348" s="332"/>
      <c r="F348" s="310"/>
      <c r="G348" s="306"/>
      <c r="H348" s="306"/>
      <c r="I348" s="306"/>
      <c r="J348" s="306"/>
      <c r="K348" s="306">
        <f>SUM(J350:J359)</f>
        <v>50883.03</v>
      </c>
      <c r="L348" s="264">
        <f>SUM(J348:J359)</f>
        <v>50883.03</v>
      </c>
    </row>
    <row r="349" spans="2:15">
      <c r="B349" s="265"/>
      <c r="C349" s="332"/>
      <c r="D349" s="384" t="s">
        <v>688</v>
      </c>
      <c r="E349" s="332"/>
      <c r="F349" s="310"/>
      <c r="G349" s="306"/>
      <c r="H349" s="306"/>
      <c r="I349" s="306"/>
      <c r="J349" s="306"/>
      <c r="K349" s="306"/>
      <c r="L349" s="264"/>
    </row>
    <row r="350" spans="2:15" ht="25.5">
      <c r="B350" s="265">
        <v>88571</v>
      </c>
      <c r="C350" s="332" t="s">
        <v>690</v>
      </c>
      <c r="D350" s="263" t="s">
        <v>260</v>
      </c>
      <c r="E350" s="332" t="s">
        <v>258</v>
      </c>
      <c r="F350" s="310">
        <v>10</v>
      </c>
      <c r="G350" s="306">
        <v>155</v>
      </c>
      <c r="H350" s="306">
        <f t="shared" ref="H350" si="244">G350*F350</f>
        <v>1550</v>
      </c>
      <c r="I350" s="306">
        <f t="shared" ref="I350" si="245">G350*(1+$K$9)</f>
        <v>193.47</v>
      </c>
      <c r="J350" s="306">
        <f t="shared" ref="J350" si="246">I350*F350</f>
        <v>1934.7</v>
      </c>
      <c r="K350" s="306"/>
      <c r="L350" s="264"/>
    </row>
    <row r="351" spans="2:15" ht="25.5">
      <c r="B351" s="265"/>
      <c r="C351" s="332" t="s">
        <v>691</v>
      </c>
      <c r="D351" s="263" t="s">
        <v>261</v>
      </c>
      <c r="E351" s="332"/>
      <c r="F351" s="310"/>
      <c r="G351" s="306"/>
      <c r="H351" s="306"/>
      <c r="I351" s="306"/>
      <c r="J351" s="306"/>
      <c r="K351" s="306"/>
      <c r="L351" s="264"/>
    </row>
    <row r="352" spans="2:15">
      <c r="B352" s="265"/>
      <c r="C352" s="332" t="s">
        <v>692</v>
      </c>
      <c r="D352" s="332" t="s">
        <v>259</v>
      </c>
      <c r="E352" s="376" t="s">
        <v>234</v>
      </c>
      <c r="F352" s="310">
        <v>10</v>
      </c>
      <c r="G352" s="306">
        <v>275</v>
      </c>
      <c r="H352" s="306">
        <f t="shared" ref="H352" si="247">G352*F352</f>
        <v>2750</v>
      </c>
      <c r="I352" s="306">
        <f t="shared" ref="I352" si="248">G352*(1+$K$9)</f>
        <v>343.26</v>
      </c>
      <c r="J352" s="306">
        <f t="shared" ref="J352" si="249">I352*F352</f>
        <v>3432.6</v>
      </c>
      <c r="K352" s="306"/>
      <c r="L352" s="264"/>
    </row>
    <row r="353" spans="2:12" ht="25.5">
      <c r="B353" s="265" t="s">
        <v>921</v>
      </c>
      <c r="C353" s="332"/>
      <c r="D353" s="263" t="s">
        <v>922</v>
      </c>
      <c r="E353" s="332" t="s">
        <v>8</v>
      </c>
      <c r="F353" s="310">
        <v>5.4</v>
      </c>
      <c r="G353" s="306">
        <v>384.51</v>
      </c>
      <c r="H353" s="306">
        <f t="shared" ref="H353" si="250">G353*F353</f>
        <v>2076.35</v>
      </c>
      <c r="I353" s="306">
        <f t="shared" ref="I353" si="251">G353*(1+$K$9)</f>
        <v>479.95</v>
      </c>
      <c r="J353" s="306">
        <f t="shared" ref="J353" si="252">I353*F353</f>
        <v>2591.73</v>
      </c>
      <c r="K353" s="306"/>
      <c r="L353" s="264"/>
    </row>
    <row r="354" spans="2:12">
      <c r="B354" s="265"/>
      <c r="C354" s="332"/>
      <c r="D354" s="332" t="s">
        <v>689</v>
      </c>
      <c r="E354" s="332"/>
      <c r="F354" s="310"/>
      <c r="G354" s="306"/>
      <c r="H354" s="306"/>
      <c r="I354" s="306"/>
      <c r="J354" s="306"/>
      <c r="K354" s="306"/>
      <c r="L354" s="264"/>
    </row>
    <row r="355" spans="2:12">
      <c r="B355" s="265"/>
      <c r="C355" s="332"/>
      <c r="D355" s="269"/>
      <c r="E355" s="332"/>
      <c r="F355" s="310"/>
      <c r="G355" s="306"/>
      <c r="H355" s="306"/>
      <c r="I355" s="306"/>
      <c r="J355" s="306"/>
      <c r="K355" s="306"/>
      <c r="L355" s="264"/>
    </row>
    <row r="356" spans="2:12" ht="25.5">
      <c r="B356" s="265">
        <v>84093</v>
      </c>
      <c r="C356" s="332" t="s">
        <v>693</v>
      </c>
      <c r="D356" s="270" t="s">
        <v>923</v>
      </c>
      <c r="E356" s="332" t="s">
        <v>3</v>
      </c>
      <c r="F356" s="310">
        <v>382</v>
      </c>
      <c r="G356" s="306">
        <v>20</v>
      </c>
      <c r="H356" s="306">
        <f t="shared" ref="H356" si="253">G356*F356</f>
        <v>7640</v>
      </c>
      <c r="I356" s="306">
        <f t="shared" ref="I356" si="254">G356*(1+$K$9)</f>
        <v>24.96</v>
      </c>
      <c r="J356" s="306">
        <f t="shared" ref="J356" si="255">I356*F356</f>
        <v>9534.7199999999993</v>
      </c>
      <c r="K356" s="306"/>
      <c r="L356" s="264"/>
    </row>
    <row r="357" spans="2:12">
      <c r="B357" s="265" t="s">
        <v>480</v>
      </c>
      <c r="C357" s="332" t="s">
        <v>694</v>
      </c>
      <c r="D357" s="268" t="s">
        <v>549</v>
      </c>
      <c r="E357" s="332" t="s">
        <v>6</v>
      </c>
      <c r="F357" s="310">
        <v>17</v>
      </c>
      <c r="G357" s="306">
        <v>880</v>
      </c>
      <c r="H357" s="306">
        <f t="shared" ref="H357" si="256">G357*F357</f>
        <v>14960</v>
      </c>
      <c r="I357" s="306">
        <f t="shared" ref="I357" si="257">G357*(1+$K$9)</f>
        <v>1098.42</v>
      </c>
      <c r="J357" s="306">
        <f t="shared" ref="J357" si="258">I357*F357</f>
        <v>18673.14</v>
      </c>
      <c r="K357" s="306"/>
      <c r="L357" s="264"/>
    </row>
    <row r="358" spans="2:12">
      <c r="B358" s="265" t="s">
        <v>480</v>
      </c>
      <c r="C358" s="332" t="s">
        <v>695</v>
      </c>
      <c r="D358" s="268" t="s">
        <v>696</v>
      </c>
      <c r="E358" s="332" t="s">
        <v>6</v>
      </c>
      <c r="F358" s="310">
        <v>34</v>
      </c>
      <c r="G358" s="306">
        <v>135</v>
      </c>
      <c r="H358" s="306">
        <f t="shared" ref="H358" si="259">G358*F358</f>
        <v>4590</v>
      </c>
      <c r="I358" s="306">
        <f t="shared" ref="I358" si="260">G358*(1+$K$9)</f>
        <v>168.51</v>
      </c>
      <c r="J358" s="306">
        <f t="shared" ref="J358" si="261">I358*F358</f>
        <v>5729.34</v>
      </c>
      <c r="K358" s="306"/>
      <c r="L358" s="264"/>
    </row>
    <row r="359" spans="2:12">
      <c r="B359" s="265" t="s">
        <v>722</v>
      </c>
      <c r="C359" s="332" t="s">
        <v>724</v>
      </c>
      <c r="D359" s="332" t="s">
        <v>723</v>
      </c>
      <c r="E359" s="268" t="s">
        <v>3</v>
      </c>
      <c r="F359" s="310">
        <v>60</v>
      </c>
      <c r="G359" s="306">
        <v>120</v>
      </c>
      <c r="H359" s="306">
        <f t="shared" ref="H359" si="262">G359*F359</f>
        <v>7200</v>
      </c>
      <c r="I359" s="306">
        <f t="shared" ref="I359" si="263">G359*(1+$K$9)</f>
        <v>149.78</v>
      </c>
      <c r="J359" s="306">
        <f t="shared" ref="J359" si="264">I359*F359</f>
        <v>8986.7999999999993</v>
      </c>
      <c r="K359" s="306"/>
      <c r="L359" s="264"/>
    </row>
    <row r="360" spans="2:12">
      <c r="B360" s="265"/>
      <c r="C360" s="332"/>
      <c r="E360" s="332"/>
      <c r="F360" s="310"/>
      <c r="G360" s="306"/>
      <c r="H360" s="306"/>
      <c r="I360" s="306"/>
      <c r="J360" s="306"/>
      <c r="K360" s="306"/>
      <c r="L360" s="264"/>
    </row>
    <row r="361" spans="2:12">
      <c r="B361" s="265"/>
      <c r="C361" s="332">
        <v>19</v>
      </c>
      <c r="D361" s="268" t="s">
        <v>792</v>
      </c>
      <c r="E361" s="332"/>
      <c r="F361" s="310"/>
      <c r="G361" s="306"/>
      <c r="H361" s="306"/>
      <c r="I361" s="306"/>
      <c r="J361" s="306"/>
      <c r="K361" s="306">
        <f>SUM(J365:J376)</f>
        <v>141848.85</v>
      </c>
      <c r="L361" s="264">
        <f>SUM(J361:J375)</f>
        <v>141848.85</v>
      </c>
    </row>
    <row r="362" spans="2:12">
      <c r="B362" s="265"/>
      <c r="C362" s="332"/>
      <c r="D362" s="268" t="s">
        <v>927</v>
      </c>
      <c r="E362" s="332"/>
      <c r="F362" s="310"/>
      <c r="G362" s="306"/>
      <c r="H362" s="306"/>
      <c r="I362" s="306"/>
      <c r="J362" s="306"/>
      <c r="K362" s="306"/>
      <c r="L362" s="264"/>
    </row>
    <row r="363" spans="2:12">
      <c r="B363" s="265"/>
      <c r="C363" s="332"/>
      <c r="D363" s="268" t="s">
        <v>789</v>
      </c>
      <c r="E363" s="332"/>
      <c r="F363" s="310"/>
      <c r="G363" s="306"/>
      <c r="H363" s="364"/>
      <c r="I363" s="306"/>
      <c r="J363" s="306"/>
      <c r="K363" s="306"/>
      <c r="L363" s="264"/>
    </row>
    <row r="364" spans="2:12" ht="38.25">
      <c r="B364" s="268">
        <v>94992</v>
      </c>
      <c r="C364" s="332"/>
      <c r="D364" s="269" t="s">
        <v>732</v>
      </c>
      <c r="E364" s="332"/>
      <c r="F364" s="310"/>
      <c r="G364" s="306"/>
      <c r="H364" s="306"/>
      <c r="I364" s="306"/>
      <c r="J364" s="306"/>
      <c r="K364" s="306"/>
      <c r="L364" s="264"/>
    </row>
    <row r="365" spans="2:12">
      <c r="B365" s="265"/>
      <c r="C365" s="332"/>
      <c r="D365" s="268" t="s">
        <v>734</v>
      </c>
      <c r="E365" s="332" t="s">
        <v>8</v>
      </c>
      <c r="F365" s="310">
        <v>1065</v>
      </c>
      <c r="G365" s="306">
        <v>52</v>
      </c>
      <c r="H365" s="306">
        <f t="shared" ref="H365" si="265">G365*F365</f>
        <v>55380</v>
      </c>
      <c r="I365" s="306">
        <f t="shared" ref="I365" si="266">G365*(1+$K$9)</f>
        <v>64.91</v>
      </c>
      <c r="J365" s="306">
        <f t="shared" ref="J365" si="267">I365*F365</f>
        <v>69129.149999999994</v>
      </c>
      <c r="K365" s="306"/>
      <c r="L365" s="264"/>
    </row>
    <row r="366" spans="2:12">
      <c r="B366" s="265"/>
      <c r="C366" s="332"/>
      <c r="D366" s="268" t="s">
        <v>733</v>
      </c>
      <c r="E366" s="332" t="s">
        <v>8</v>
      </c>
      <c r="F366" s="310">
        <v>80</v>
      </c>
      <c r="G366" s="306">
        <f>G365</f>
        <v>52</v>
      </c>
      <c r="H366" s="306">
        <f t="shared" ref="H366" si="268">G366*F366</f>
        <v>4160</v>
      </c>
      <c r="I366" s="306">
        <f t="shared" ref="I366" si="269">G366*(1+$K$9)</f>
        <v>64.91</v>
      </c>
      <c r="J366" s="306">
        <f t="shared" ref="J366" si="270">I366*F366</f>
        <v>5192.8</v>
      </c>
      <c r="K366" s="306"/>
      <c r="L366" s="264"/>
    </row>
    <row r="367" spans="2:12">
      <c r="B367" s="265"/>
      <c r="C367" s="332"/>
      <c r="D367" s="268" t="s">
        <v>738</v>
      </c>
      <c r="E367" s="332" t="s">
        <v>8</v>
      </c>
      <c r="F367" s="310">
        <v>50</v>
      </c>
      <c r="G367" s="306">
        <f t="shared" ref="G367:G369" si="271">G366</f>
        <v>52</v>
      </c>
      <c r="H367" s="306">
        <f t="shared" ref="H367" si="272">G367*F367</f>
        <v>2600</v>
      </c>
      <c r="I367" s="306">
        <f t="shared" ref="I367" si="273">G367*(1+$K$9)</f>
        <v>64.91</v>
      </c>
      <c r="J367" s="306">
        <f t="shared" ref="J367" si="274">I367*F367</f>
        <v>3245.5</v>
      </c>
      <c r="K367" s="306"/>
      <c r="L367" s="264"/>
    </row>
    <row r="368" spans="2:12">
      <c r="B368" s="265"/>
      <c r="C368" s="332"/>
      <c r="D368" s="268" t="s">
        <v>739</v>
      </c>
      <c r="E368" s="332" t="s">
        <v>8</v>
      </c>
      <c r="F368" s="310">
        <v>40</v>
      </c>
      <c r="G368" s="306">
        <f t="shared" si="271"/>
        <v>52</v>
      </c>
      <c r="H368" s="306">
        <f t="shared" ref="H368" si="275">G368*F368</f>
        <v>2080</v>
      </c>
      <c r="I368" s="306">
        <f t="shared" ref="I368" si="276">G368*(1+$K$9)</f>
        <v>64.91</v>
      </c>
      <c r="J368" s="306">
        <f t="shared" ref="J368" si="277">I368*F368</f>
        <v>2596.4</v>
      </c>
      <c r="K368" s="306"/>
      <c r="L368" s="264"/>
    </row>
    <row r="369" spans="2:12">
      <c r="B369" s="265"/>
      <c r="C369" s="332"/>
      <c r="D369" s="268" t="s">
        <v>790</v>
      </c>
      <c r="E369" s="332" t="s">
        <v>8</v>
      </c>
      <c r="F369" s="310">
        <v>440</v>
      </c>
      <c r="G369" s="306">
        <f t="shared" si="271"/>
        <v>52</v>
      </c>
      <c r="H369" s="306">
        <f t="shared" ref="H369" si="278">G369*F369</f>
        <v>22880</v>
      </c>
      <c r="I369" s="306">
        <f t="shared" ref="I369" si="279">G369*(1+$K$9)</f>
        <v>64.91</v>
      </c>
      <c r="J369" s="306">
        <f t="shared" ref="J369" si="280">I369*F369</f>
        <v>28560.400000000001</v>
      </c>
      <c r="K369" s="306"/>
      <c r="L369" s="264"/>
    </row>
    <row r="370" spans="2:12">
      <c r="B370" s="265"/>
      <c r="C370" s="332"/>
      <c r="D370" s="268" t="s">
        <v>928</v>
      </c>
      <c r="F370" s="310"/>
      <c r="G370" s="306"/>
      <c r="H370" s="306"/>
      <c r="I370" s="306"/>
      <c r="J370" s="306"/>
      <c r="K370" s="306"/>
      <c r="L370" s="264"/>
    </row>
    <row r="371" spans="2:12">
      <c r="B371" s="265"/>
      <c r="C371" s="332"/>
      <c r="D371" s="268" t="s">
        <v>929</v>
      </c>
      <c r="F371" s="332">
        <f>7*220</f>
        <v>1540</v>
      </c>
      <c r="G371" s="306"/>
      <c r="H371" s="306"/>
      <c r="I371" s="306"/>
      <c r="J371" s="306"/>
      <c r="K371" s="306"/>
      <c r="L371" s="264"/>
    </row>
    <row r="372" spans="2:12">
      <c r="B372" s="265"/>
      <c r="C372" s="332"/>
      <c r="D372" s="268" t="s">
        <v>924</v>
      </c>
      <c r="F372" s="332">
        <f>5*220</f>
        <v>1100</v>
      </c>
      <c r="G372" s="306"/>
      <c r="H372" s="306"/>
      <c r="I372" s="306"/>
      <c r="J372" s="306"/>
      <c r="K372" s="306"/>
      <c r="L372" s="264"/>
    </row>
    <row r="373" spans="2:12">
      <c r="B373" s="265"/>
      <c r="C373" s="332"/>
      <c r="D373" s="268" t="s">
        <v>925</v>
      </c>
      <c r="F373" s="332">
        <f>5*130</f>
        <v>650</v>
      </c>
      <c r="G373" s="306"/>
      <c r="H373" s="306"/>
      <c r="I373" s="306"/>
      <c r="J373" s="306"/>
      <c r="K373" s="306"/>
      <c r="L373" s="264"/>
    </row>
    <row r="374" spans="2:12">
      <c r="B374" s="265"/>
      <c r="C374" s="332"/>
      <c r="D374" s="268" t="s">
        <v>926</v>
      </c>
      <c r="F374" s="332">
        <f>5*100</f>
        <v>500</v>
      </c>
      <c r="G374" s="306"/>
      <c r="H374" s="306"/>
      <c r="I374" s="306"/>
      <c r="J374" s="306"/>
      <c r="K374" s="306"/>
      <c r="L374" s="264"/>
    </row>
    <row r="375" spans="2:12">
      <c r="B375" s="265" t="s">
        <v>791</v>
      </c>
      <c r="C375" s="332"/>
      <c r="D375" s="268" t="s">
        <v>1083</v>
      </c>
      <c r="E375" s="332" t="s">
        <v>8</v>
      </c>
      <c r="F375" s="310">
        <v>3790</v>
      </c>
      <c r="G375" s="306">
        <v>7</v>
      </c>
      <c r="H375" s="306">
        <f t="shared" ref="H375" si="281">G375*F375</f>
        <v>26530</v>
      </c>
      <c r="I375" s="306">
        <f t="shared" ref="I375" si="282">G375*(1+$K$9)</f>
        <v>8.74</v>
      </c>
      <c r="J375" s="306">
        <f t="shared" ref="J375" si="283">I375*F375</f>
        <v>33124.6</v>
      </c>
      <c r="K375" s="306"/>
      <c r="L375" s="264"/>
    </row>
    <row r="376" spans="2:12">
      <c r="B376" s="265"/>
      <c r="C376" s="332"/>
      <c r="E376" s="332"/>
      <c r="F376" s="310"/>
      <c r="G376" s="306"/>
      <c r="H376" s="306"/>
      <c r="I376" s="306"/>
      <c r="J376" s="306"/>
      <c r="K376" s="306"/>
      <c r="L376" s="264"/>
    </row>
    <row r="377" spans="2:12">
      <c r="B377" s="265" t="s">
        <v>757</v>
      </c>
      <c r="C377" s="332">
        <v>20</v>
      </c>
      <c r="D377" s="268" t="s">
        <v>1098</v>
      </c>
      <c r="E377" s="332"/>
      <c r="F377" s="310"/>
      <c r="G377" s="306"/>
      <c r="H377" s="364"/>
      <c r="I377" s="306"/>
      <c r="J377" s="306"/>
      <c r="K377" s="306">
        <f>SUM(J378:J381)</f>
        <v>2531.5700000000002</v>
      </c>
      <c r="L377" s="264">
        <f>SUM(J378:J381)</f>
        <v>2531.5700000000002</v>
      </c>
    </row>
    <row r="378" spans="2:12" hidden="1">
      <c r="B378" s="265"/>
      <c r="C378" s="332"/>
      <c r="D378" s="268" t="s">
        <v>733</v>
      </c>
      <c r="E378" s="332" t="s">
        <v>8</v>
      </c>
      <c r="F378" s="310">
        <v>0</v>
      </c>
      <c r="G378" s="306">
        <v>150</v>
      </c>
      <c r="H378" s="306">
        <f t="shared" ref="H378:H380" si="284">G378*F378</f>
        <v>0</v>
      </c>
      <c r="I378" s="306">
        <f t="shared" ref="I378:I380" si="285">G378*(1+$K$9)</f>
        <v>187.23</v>
      </c>
      <c r="J378" s="306">
        <f t="shared" ref="J378:J380" si="286">I378*F378</f>
        <v>0</v>
      </c>
      <c r="K378" s="306"/>
      <c r="L378" s="264"/>
    </row>
    <row r="379" spans="2:12" hidden="1">
      <c r="B379" s="265"/>
      <c r="C379" s="332"/>
      <c r="D379" s="268" t="s">
        <v>738</v>
      </c>
      <c r="E379" s="332" t="s">
        <v>8</v>
      </c>
      <c r="F379" s="310">
        <v>0</v>
      </c>
      <c r="G379" s="306">
        <v>150</v>
      </c>
      <c r="H379" s="306">
        <f t="shared" si="284"/>
        <v>0</v>
      </c>
      <c r="I379" s="306">
        <f t="shared" si="285"/>
        <v>187.23</v>
      </c>
      <c r="J379" s="306">
        <f t="shared" si="286"/>
        <v>0</v>
      </c>
      <c r="K379" s="306"/>
      <c r="L379" s="264"/>
    </row>
    <row r="380" spans="2:12" hidden="1">
      <c r="B380" s="265"/>
      <c r="C380" s="332"/>
      <c r="D380" s="268" t="s">
        <v>788</v>
      </c>
      <c r="E380" s="332" t="s">
        <v>8</v>
      </c>
      <c r="F380" s="310">
        <v>0</v>
      </c>
      <c r="G380" s="306">
        <v>150</v>
      </c>
      <c r="H380" s="306">
        <f t="shared" si="284"/>
        <v>0</v>
      </c>
      <c r="I380" s="306">
        <f t="shared" si="285"/>
        <v>187.23</v>
      </c>
      <c r="J380" s="306">
        <f t="shared" si="286"/>
        <v>0</v>
      </c>
      <c r="K380" s="306"/>
      <c r="L380" s="264"/>
    </row>
    <row r="381" spans="2:12">
      <c r="B381" s="265"/>
      <c r="C381" s="332"/>
      <c r="D381" s="268" t="s">
        <v>1096</v>
      </c>
      <c r="E381" s="332" t="s">
        <v>8</v>
      </c>
      <c r="F381" s="310">
        <v>6197.4</v>
      </c>
      <c r="G381" s="306"/>
      <c r="H381" s="306"/>
      <c r="I381" s="306">
        <f>J381/F381</f>
        <v>0.41</v>
      </c>
      <c r="J381" s="306">
        <v>2531.5700000000002</v>
      </c>
      <c r="K381" s="306"/>
      <c r="L381" s="264"/>
    </row>
    <row r="382" spans="2:12">
      <c r="B382" s="265"/>
      <c r="C382" s="332"/>
      <c r="D382" s="332"/>
      <c r="E382" s="332"/>
      <c r="F382" s="310"/>
      <c r="G382" s="306"/>
      <c r="H382" s="306"/>
      <c r="I382" s="306"/>
      <c r="J382" s="306">
        <f>SUM(J12:J381)</f>
        <v>8850000</v>
      </c>
      <c r="K382" s="306">
        <f>SUM(K11:K380)</f>
        <v>8850000</v>
      </c>
      <c r="L382" s="264"/>
    </row>
    <row r="383" spans="2:12">
      <c r="B383" s="385"/>
      <c r="C383" s="339"/>
      <c r="D383" s="386"/>
      <c r="E383" s="339"/>
      <c r="F383" s="387"/>
      <c r="G383" s="388"/>
      <c r="H383" s="388"/>
      <c r="I383" s="388"/>
      <c r="J383" s="388"/>
      <c r="K383" s="388"/>
      <c r="L383" s="264"/>
    </row>
    <row r="384" spans="2:12">
      <c r="B384" s="347"/>
      <c r="C384" s="340"/>
      <c r="D384" s="340"/>
      <c r="E384" s="340"/>
      <c r="F384" s="389"/>
      <c r="G384" s="390"/>
      <c r="H384" s="391"/>
      <c r="I384" s="390"/>
      <c r="J384" s="390"/>
      <c r="K384" s="424"/>
      <c r="L384" s="264"/>
    </row>
    <row r="385" spans="2:11">
      <c r="B385" s="349"/>
      <c r="D385" s="252" t="s">
        <v>936</v>
      </c>
      <c r="H385" s="392"/>
      <c r="K385" s="425"/>
    </row>
    <row r="386" spans="2:11">
      <c r="B386" s="349"/>
      <c r="D386" s="252" t="s">
        <v>937</v>
      </c>
      <c r="H386" s="392"/>
      <c r="K386" s="425"/>
    </row>
    <row r="387" spans="2:11">
      <c r="B387" s="356"/>
      <c r="C387" s="335"/>
      <c r="D387" s="252" t="s">
        <v>938</v>
      </c>
      <c r="E387" s="335"/>
      <c r="F387" s="393"/>
      <c r="G387" s="394"/>
      <c r="H387" s="394"/>
      <c r="I387" s="394"/>
      <c r="J387" s="394"/>
      <c r="K387" s="426"/>
    </row>
  </sheetData>
  <mergeCells count="4">
    <mergeCell ref="J7:K7"/>
    <mergeCell ref="D3:I3"/>
    <mergeCell ref="D4:I4"/>
    <mergeCell ref="D5:I5"/>
  </mergeCells>
  <phoneticPr fontId="5" type="noConversion"/>
  <printOptions gridLines="1"/>
  <pageMargins left="0.59055118110236227" right="0" top="0.39370078740157483" bottom="0.82677165354330717" header="0.35433070866141736" footer="0.51181102362204722"/>
  <pageSetup paperSize="9" scale="80" fitToHeight="0" orientation="landscape" horizontalDpi="300" verticalDpi="300" r:id="rId1"/>
  <headerFooter alignWithMargins="0"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42"/>
  <sheetViews>
    <sheetView tabSelected="1" zoomScale="80" zoomScaleNormal="80" workbookViewId="0">
      <selection activeCell="B40" sqref="B40"/>
    </sheetView>
  </sheetViews>
  <sheetFormatPr defaultRowHeight="12.75"/>
  <cols>
    <col min="1" max="1" width="6.140625" customWidth="1"/>
    <col min="2" max="2" width="56.7109375" customWidth="1"/>
    <col min="3" max="3" width="15.28515625" style="72" customWidth="1"/>
    <col min="4" max="4" width="11.28515625" customWidth="1"/>
    <col min="5" max="5" width="14" customWidth="1"/>
    <col min="6" max="6" width="12.28515625" customWidth="1"/>
    <col min="7" max="7" width="11.42578125" customWidth="1"/>
    <col min="8" max="8" width="15.140625" customWidth="1"/>
    <col min="9" max="9" width="12.5703125" customWidth="1"/>
    <col min="10" max="10" width="14.42578125" style="17" customWidth="1"/>
    <col min="11" max="11" width="14.140625" customWidth="1"/>
    <col min="12" max="12" width="14.7109375" bestFit="1" customWidth="1"/>
    <col min="13" max="13" width="13.42578125" customWidth="1"/>
    <col min="14" max="14" width="13.85546875" bestFit="1" customWidth="1"/>
    <col min="16" max="16" width="12.5703125" customWidth="1"/>
    <col min="17" max="17" width="13.85546875" bestFit="1" customWidth="1"/>
    <col min="19" max="19" width="12.7109375" customWidth="1"/>
    <col min="20" max="20" width="13.85546875" bestFit="1" customWidth="1"/>
    <col min="21" max="21" width="12.5703125" customWidth="1"/>
    <col min="22" max="22" width="13.42578125" customWidth="1"/>
    <col min="23" max="23" width="13.85546875" bestFit="1" customWidth="1"/>
    <col min="24" max="24" width="12.5703125" customWidth="1"/>
    <col min="25" max="25" width="12.140625" customWidth="1"/>
    <col min="26" max="26" width="15.7109375" customWidth="1"/>
    <col min="28" max="28" width="12.7109375" customWidth="1"/>
    <col min="29" max="29" width="16.5703125" customWidth="1"/>
    <col min="31" max="31" width="11.85546875" customWidth="1"/>
    <col min="32" max="32" width="14.140625" customWidth="1"/>
    <col min="34" max="34" width="13.140625" customWidth="1"/>
    <col min="35" max="35" width="13.85546875" bestFit="1" customWidth="1"/>
    <col min="37" max="37" width="13.42578125" customWidth="1"/>
    <col min="38" max="38" width="13.5703125" customWidth="1"/>
    <col min="40" max="40" width="11.7109375" customWidth="1"/>
    <col min="41" max="41" width="14.7109375" customWidth="1"/>
    <col min="43" max="43" width="12.140625" customWidth="1"/>
    <col min="44" max="44" width="17" customWidth="1"/>
    <col min="46" max="46" width="12" customWidth="1"/>
    <col min="47" max="47" width="15.42578125" customWidth="1"/>
    <col min="49" max="49" width="13.5703125" customWidth="1"/>
    <col min="50" max="50" width="14.5703125" customWidth="1"/>
    <col min="52" max="52" width="12" hidden="1" customWidth="1"/>
    <col min="53" max="53" width="15.28515625" hidden="1" customWidth="1"/>
    <col min="54" max="54" width="0" hidden="1" customWidth="1"/>
    <col min="55" max="55" width="13.28515625" hidden="1" customWidth="1"/>
    <col min="56" max="56" width="14.140625" hidden="1" customWidth="1"/>
    <col min="57" max="57" width="0" hidden="1" customWidth="1"/>
  </cols>
  <sheetData>
    <row r="1" spans="1:57" ht="19.5">
      <c r="A1" s="5"/>
      <c r="B1" s="444" t="s">
        <v>0</v>
      </c>
      <c r="C1" s="444"/>
      <c r="D1" s="444"/>
      <c r="E1" s="444"/>
      <c r="F1" s="444"/>
      <c r="G1" s="444"/>
      <c r="H1" s="444"/>
      <c r="I1" s="445"/>
    </row>
    <row r="2" spans="1:57" ht="16.5">
      <c r="A2" s="6"/>
      <c r="B2" s="444" t="s">
        <v>46</v>
      </c>
      <c r="C2" s="444"/>
      <c r="D2" s="444"/>
      <c r="E2" s="444"/>
      <c r="F2" s="444"/>
      <c r="G2" s="444"/>
      <c r="H2" s="444"/>
      <c r="I2" s="445"/>
    </row>
    <row r="3" spans="1:57" ht="15">
      <c r="A3" s="1"/>
      <c r="B3" s="444" t="s">
        <v>33</v>
      </c>
      <c r="C3" s="444"/>
      <c r="D3" s="444"/>
      <c r="E3" s="444"/>
      <c r="F3" s="444"/>
      <c r="G3" s="444"/>
      <c r="H3" s="444"/>
      <c r="I3" s="445"/>
    </row>
    <row r="4" spans="1:57" ht="15">
      <c r="A4" s="1"/>
      <c r="B4" s="446"/>
      <c r="C4" s="446"/>
      <c r="D4" s="446"/>
      <c r="E4" s="446"/>
      <c r="F4" s="446"/>
      <c r="G4" s="446"/>
      <c r="H4" s="446"/>
      <c r="I4" s="447"/>
    </row>
    <row r="5" spans="1:57">
      <c r="A5" s="18"/>
      <c r="B5" s="21"/>
      <c r="C5" s="215"/>
      <c r="D5" s="21"/>
      <c r="E5" s="21"/>
      <c r="F5" s="21"/>
      <c r="G5" s="21"/>
      <c r="H5" s="21"/>
      <c r="I5" s="18"/>
    </row>
    <row r="6" spans="1:57" ht="13.5" thickBot="1">
      <c r="A6" s="435" t="s">
        <v>11</v>
      </c>
      <c r="B6" s="435"/>
      <c r="C6" s="435"/>
      <c r="D6" s="435"/>
      <c r="E6" s="435"/>
      <c r="F6" s="435"/>
      <c r="G6" s="435"/>
      <c r="H6" s="435"/>
      <c r="I6" s="436"/>
    </row>
    <row r="7" spans="1:57" ht="13.5" thickBot="1">
      <c r="A7" s="19" t="s">
        <v>23</v>
      </c>
      <c r="B7" s="448" t="s">
        <v>32</v>
      </c>
      <c r="C7" s="449"/>
      <c r="D7" s="452" t="s">
        <v>12</v>
      </c>
      <c r="E7" s="453"/>
      <c r="F7" s="437">
        <f>'PLAN. ORÇAM.'!H8</f>
        <v>6197.4</v>
      </c>
      <c r="G7" s="437"/>
      <c r="H7" s="437"/>
      <c r="I7" s="438"/>
    </row>
    <row r="8" spans="1:57" ht="13.5" thickBot="1">
      <c r="A8" s="20" t="s">
        <v>24</v>
      </c>
      <c r="B8" s="450" t="s">
        <v>47</v>
      </c>
      <c r="C8" s="451"/>
      <c r="D8" s="452" t="s">
        <v>22</v>
      </c>
      <c r="E8" s="453"/>
      <c r="F8" s="439">
        <f>C34</f>
        <v>8850000</v>
      </c>
      <c r="G8" s="439"/>
      <c r="H8" s="439"/>
      <c r="I8" s="440"/>
    </row>
    <row r="9" spans="1:57" ht="13.5" thickBot="1">
      <c r="A9" s="9"/>
      <c r="B9" s="4"/>
      <c r="C9" s="26"/>
      <c r="D9" s="18"/>
      <c r="E9" s="18"/>
      <c r="F9" s="22"/>
      <c r="G9" s="18"/>
      <c r="H9" s="18"/>
      <c r="I9" s="23"/>
    </row>
    <row r="10" spans="1:57">
      <c r="A10" s="462" t="s">
        <v>1</v>
      </c>
      <c r="B10" s="464" t="s">
        <v>13</v>
      </c>
      <c r="C10" s="216" t="s">
        <v>14</v>
      </c>
      <c r="D10" s="441" t="s">
        <v>15</v>
      </c>
      <c r="E10" s="442"/>
      <c r="F10" s="442"/>
      <c r="G10" s="442"/>
      <c r="H10" s="442"/>
      <c r="I10" s="443"/>
    </row>
    <row r="11" spans="1:57">
      <c r="A11" s="462"/>
      <c r="B11" s="465"/>
      <c r="C11" s="217"/>
      <c r="D11" s="467" t="s">
        <v>760</v>
      </c>
      <c r="E11" s="467"/>
      <c r="F11" s="467"/>
      <c r="G11" s="467" t="s">
        <v>764</v>
      </c>
      <c r="H11" s="467"/>
      <c r="I11" s="467"/>
      <c r="J11" s="467" t="s">
        <v>765</v>
      </c>
      <c r="K11" s="467"/>
      <c r="L11" s="467"/>
      <c r="M11" s="467" t="s">
        <v>766</v>
      </c>
      <c r="N11" s="467"/>
      <c r="O11" s="467"/>
      <c r="P11" s="467" t="s">
        <v>767</v>
      </c>
      <c r="Q11" s="467"/>
      <c r="R11" s="467"/>
      <c r="S11" s="467" t="s">
        <v>768</v>
      </c>
      <c r="T11" s="467"/>
      <c r="U11" s="467"/>
      <c r="V11" s="467" t="s">
        <v>769</v>
      </c>
      <c r="W11" s="467"/>
      <c r="X11" s="467"/>
      <c r="Y11" s="467" t="s">
        <v>770</v>
      </c>
      <c r="Z11" s="467"/>
      <c r="AA11" s="467"/>
      <c r="AB11" s="467" t="s">
        <v>771</v>
      </c>
      <c r="AC11" s="467"/>
      <c r="AD11" s="467"/>
      <c r="AE11" s="467" t="s">
        <v>772</v>
      </c>
      <c r="AF11" s="467"/>
      <c r="AG11" s="467"/>
      <c r="AH11" s="467" t="s">
        <v>773</v>
      </c>
      <c r="AI11" s="467"/>
      <c r="AJ11" s="467"/>
      <c r="AK11" s="467" t="s">
        <v>774</v>
      </c>
      <c r="AL11" s="467"/>
      <c r="AM11" s="467"/>
      <c r="AN11" s="467" t="s">
        <v>775</v>
      </c>
      <c r="AO11" s="467"/>
      <c r="AP11" s="467"/>
      <c r="AQ11" s="467" t="s">
        <v>776</v>
      </c>
      <c r="AR11" s="467"/>
      <c r="AS11" s="467"/>
      <c r="AT11" s="467" t="s">
        <v>777</v>
      </c>
      <c r="AU11" s="467"/>
      <c r="AV11" s="467"/>
      <c r="AW11" s="467" t="s">
        <v>778</v>
      </c>
      <c r="AX11" s="467"/>
      <c r="AY11" s="467"/>
      <c r="AZ11" s="467" t="s">
        <v>779</v>
      </c>
      <c r="BA11" s="467"/>
      <c r="BB11" s="467"/>
      <c r="BC11" s="467" t="s">
        <v>780</v>
      </c>
      <c r="BD11" s="467"/>
      <c r="BE11" s="467"/>
    </row>
    <row r="12" spans="1:57" ht="25.5" customHeight="1" thickBot="1">
      <c r="A12" s="463"/>
      <c r="B12" s="466"/>
      <c r="C12" s="217" t="s">
        <v>16</v>
      </c>
      <c r="D12" s="203" t="s">
        <v>761</v>
      </c>
      <c r="E12" s="204" t="s">
        <v>762</v>
      </c>
      <c r="F12" s="203" t="s">
        <v>763</v>
      </c>
      <c r="G12" s="203" t="s">
        <v>761</v>
      </c>
      <c r="H12" s="204" t="s">
        <v>762</v>
      </c>
      <c r="I12" s="203" t="s">
        <v>763</v>
      </c>
      <c r="J12" s="203" t="s">
        <v>761</v>
      </c>
      <c r="K12" s="204" t="s">
        <v>762</v>
      </c>
      <c r="L12" s="203" t="s">
        <v>763</v>
      </c>
      <c r="M12" s="203" t="s">
        <v>761</v>
      </c>
      <c r="N12" s="204" t="s">
        <v>762</v>
      </c>
      <c r="O12" s="203" t="s">
        <v>763</v>
      </c>
      <c r="P12" s="203" t="s">
        <v>761</v>
      </c>
      <c r="Q12" s="204" t="s">
        <v>762</v>
      </c>
      <c r="R12" s="203" t="s">
        <v>763</v>
      </c>
      <c r="S12" s="203" t="s">
        <v>761</v>
      </c>
      <c r="T12" s="204" t="s">
        <v>762</v>
      </c>
      <c r="U12" s="203" t="s">
        <v>763</v>
      </c>
      <c r="V12" s="203" t="s">
        <v>761</v>
      </c>
      <c r="W12" s="204" t="s">
        <v>762</v>
      </c>
      <c r="X12" s="203" t="s">
        <v>763</v>
      </c>
      <c r="Y12" s="203" t="s">
        <v>761</v>
      </c>
      <c r="Z12" s="204" t="s">
        <v>762</v>
      </c>
      <c r="AA12" s="203" t="s">
        <v>763</v>
      </c>
      <c r="AB12" s="203" t="s">
        <v>761</v>
      </c>
      <c r="AC12" s="204" t="s">
        <v>762</v>
      </c>
      <c r="AD12" s="203" t="s">
        <v>763</v>
      </c>
      <c r="AE12" s="203" t="s">
        <v>761</v>
      </c>
      <c r="AF12" s="204" t="s">
        <v>762</v>
      </c>
      <c r="AG12" s="203" t="s">
        <v>763</v>
      </c>
      <c r="AH12" s="203" t="s">
        <v>761</v>
      </c>
      <c r="AI12" s="204" t="s">
        <v>762</v>
      </c>
      <c r="AJ12" s="203" t="s">
        <v>763</v>
      </c>
      <c r="AK12" s="203" t="s">
        <v>761</v>
      </c>
      <c r="AL12" s="204" t="s">
        <v>762</v>
      </c>
      <c r="AM12" s="203" t="s">
        <v>763</v>
      </c>
      <c r="AN12" s="203" t="s">
        <v>761</v>
      </c>
      <c r="AO12" s="204" t="s">
        <v>762</v>
      </c>
      <c r="AP12" s="203" t="s">
        <v>763</v>
      </c>
      <c r="AQ12" s="203" t="s">
        <v>761</v>
      </c>
      <c r="AR12" s="204" t="s">
        <v>762</v>
      </c>
      <c r="AS12" s="203" t="s">
        <v>763</v>
      </c>
      <c r="AT12" s="203" t="s">
        <v>761</v>
      </c>
      <c r="AU12" s="204" t="s">
        <v>762</v>
      </c>
      <c r="AV12" s="203" t="s">
        <v>763</v>
      </c>
      <c r="AW12" s="203" t="s">
        <v>761</v>
      </c>
      <c r="AX12" s="204" t="s">
        <v>762</v>
      </c>
      <c r="AY12" s="203" t="s">
        <v>763</v>
      </c>
      <c r="AZ12" s="203" t="s">
        <v>761</v>
      </c>
      <c r="BA12" s="204" t="s">
        <v>762</v>
      </c>
      <c r="BB12" s="203" t="s">
        <v>763</v>
      </c>
      <c r="BC12" s="203" t="s">
        <v>761</v>
      </c>
      <c r="BD12" s="204" t="s">
        <v>762</v>
      </c>
      <c r="BE12" s="203" t="s">
        <v>763</v>
      </c>
    </row>
    <row r="13" spans="1:57" ht="16.5" customHeight="1">
      <c r="A13" s="10">
        <v>1</v>
      </c>
      <c r="B13" s="205" t="str">
        <f>VLOOKUP(A13,'PLAN. ORÇAM.'!C11:K380,2)</f>
        <v>SERVIÇOS PRELIMINARES</v>
      </c>
      <c r="C13" s="218">
        <f>VLOOKUP(A13,'PLAN. ORÇAM.'!C11:K380,9)</f>
        <v>442819.04</v>
      </c>
      <c r="D13" s="213">
        <v>7.0000000000000007E-2</v>
      </c>
      <c r="E13" s="209">
        <f>D13*$C13</f>
        <v>30997.33</v>
      </c>
      <c r="F13" s="208">
        <v>0.06</v>
      </c>
      <c r="G13" s="213">
        <v>7.0000000000000007E-2</v>
      </c>
      <c r="H13" s="209">
        <f>G13*$C13</f>
        <v>30997.33</v>
      </c>
      <c r="I13" s="208">
        <f>G13+F13</f>
        <v>0.13</v>
      </c>
      <c r="J13" s="213">
        <v>7.0000000000000007E-2</v>
      </c>
      <c r="K13" s="209">
        <f>J13*$C13</f>
        <v>30997.33</v>
      </c>
      <c r="L13" s="208">
        <f>J13+I13</f>
        <v>0.2</v>
      </c>
      <c r="M13" s="213">
        <v>7.0000000000000007E-2</v>
      </c>
      <c r="N13" s="209">
        <f>M13*$C13</f>
        <v>30997.33</v>
      </c>
      <c r="O13" s="208">
        <f>M13+L13</f>
        <v>0.27</v>
      </c>
      <c r="P13" s="213">
        <v>7.0000000000000007E-2</v>
      </c>
      <c r="Q13" s="209">
        <f>P13*$C13</f>
        <v>30997.33</v>
      </c>
      <c r="R13" s="208">
        <f>P13+O13</f>
        <v>0.34</v>
      </c>
      <c r="S13" s="213">
        <v>0.06</v>
      </c>
      <c r="T13" s="209">
        <f>S13*$C13</f>
        <v>26569.14</v>
      </c>
      <c r="U13" s="208">
        <f>S13+R13</f>
        <v>0.4</v>
      </c>
      <c r="V13" s="213">
        <v>0.06</v>
      </c>
      <c r="W13" s="209">
        <f>V13*$C13</f>
        <v>26569.14</v>
      </c>
      <c r="X13" s="208">
        <f>V13+U13</f>
        <v>0.46</v>
      </c>
      <c r="Y13" s="213">
        <v>0.06</v>
      </c>
      <c r="Z13" s="209">
        <f>Y13*$C13</f>
        <v>26569.14</v>
      </c>
      <c r="AA13" s="208">
        <f>Y13+X13</f>
        <v>0.52</v>
      </c>
      <c r="AB13" s="213">
        <v>0.06</v>
      </c>
      <c r="AC13" s="209">
        <f>AB13*$C13</f>
        <v>26569.14</v>
      </c>
      <c r="AD13" s="208">
        <f>AB13+AA13</f>
        <v>0.57999999999999996</v>
      </c>
      <c r="AE13" s="213">
        <v>0.06</v>
      </c>
      <c r="AF13" s="209">
        <f>AE13*$C13</f>
        <v>26569.14</v>
      </c>
      <c r="AG13" s="208">
        <f>AE13+AD13</f>
        <v>0.64</v>
      </c>
      <c r="AH13" s="213">
        <v>0.06</v>
      </c>
      <c r="AI13" s="209">
        <f>AH13*$C13</f>
        <v>26569.14</v>
      </c>
      <c r="AJ13" s="208">
        <f>AH13+AG13</f>
        <v>0.7</v>
      </c>
      <c r="AK13" s="213">
        <v>0.06</v>
      </c>
      <c r="AL13" s="209">
        <f>AK13*$C13</f>
        <v>26569.14</v>
      </c>
      <c r="AM13" s="208">
        <f>AK13+AJ13</f>
        <v>0.76</v>
      </c>
      <c r="AN13" s="213">
        <v>0.06</v>
      </c>
      <c r="AO13" s="209">
        <f>AN13*$C13</f>
        <v>26569.14</v>
      </c>
      <c r="AP13" s="208">
        <f>AN13+AM13</f>
        <v>0.82</v>
      </c>
      <c r="AQ13" s="213">
        <v>0.06</v>
      </c>
      <c r="AR13" s="209">
        <f>AQ13*$C13</f>
        <v>26569.14</v>
      </c>
      <c r="AS13" s="208">
        <f>AQ13+AP13</f>
        <v>0.88</v>
      </c>
      <c r="AT13" s="213">
        <v>0.06</v>
      </c>
      <c r="AU13" s="209">
        <f>AT13*$C13</f>
        <v>26569.14</v>
      </c>
      <c r="AV13" s="208">
        <f>AT13+AS13</f>
        <v>0.94</v>
      </c>
      <c r="AW13" s="427">
        <v>0.06</v>
      </c>
      <c r="AX13" s="209">
        <f>AW13*$C13</f>
        <v>26569.14</v>
      </c>
      <c r="AY13" s="428">
        <f>AW13+AV13</f>
        <v>1</v>
      </c>
      <c r="AZ13" s="213"/>
      <c r="BA13" s="209">
        <f>AZ13*$C13</f>
        <v>0</v>
      </c>
      <c r="BB13" s="208">
        <f>AZ13+AY13</f>
        <v>1</v>
      </c>
      <c r="BC13" s="213"/>
      <c r="BD13" s="209">
        <f>BC13*$C13</f>
        <v>0</v>
      </c>
      <c r="BE13" s="208">
        <f>BC13+BB13</f>
        <v>1</v>
      </c>
    </row>
    <row r="14" spans="1:57" ht="15.75" customHeight="1">
      <c r="A14" s="11">
        <v>2</v>
      </c>
      <c r="B14" s="206" t="str">
        <f>VLOOKUP(A14,'PLAN. ORÇAM.'!C12:K384,2)</f>
        <v>MOVIMENTO DE TERRA</v>
      </c>
      <c r="C14" s="219">
        <f>VLOOKUP(A14,'PLAN. ORÇAM.'!C12:K384,9)</f>
        <v>49380</v>
      </c>
      <c r="D14" s="214">
        <v>0.7</v>
      </c>
      <c r="E14" s="211">
        <f t="shared" ref="E14:E32" si="0">D14*C14</f>
        <v>34566</v>
      </c>
      <c r="F14" s="210">
        <f t="shared" ref="F14:F32" si="1">D14</f>
        <v>0.7</v>
      </c>
      <c r="G14" s="214">
        <v>0.3</v>
      </c>
      <c r="H14" s="211">
        <f t="shared" ref="H14:H32" si="2">G14*$C14</f>
        <v>14814</v>
      </c>
      <c r="I14" s="210">
        <f t="shared" ref="I14:I32" si="3">G14+F14</f>
        <v>1</v>
      </c>
      <c r="J14" s="214"/>
      <c r="K14" s="211">
        <f t="shared" ref="K14:K32" si="4">J14*$C14</f>
        <v>0</v>
      </c>
      <c r="L14" s="210">
        <f t="shared" ref="L14:L32" si="5">J14+I14</f>
        <v>1</v>
      </c>
      <c r="M14" s="214"/>
      <c r="N14" s="211">
        <f t="shared" ref="N14:N32" si="6">M14*$C14</f>
        <v>0</v>
      </c>
      <c r="O14" s="210">
        <f t="shared" ref="O14:O32" si="7">M14+L14</f>
        <v>1</v>
      </c>
      <c r="P14" s="214"/>
      <c r="Q14" s="211">
        <f t="shared" ref="Q14:Q32" si="8">P14*$C14</f>
        <v>0</v>
      </c>
      <c r="R14" s="210">
        <f t="shared" ref="R14:R32" si="9">P14+O14</f>
        <v>1</v>
      </c>
      <c r="S14" s="214"/>
      <c r="T14" s="211">
        <f t="shared" ref="T14:T32" si="10">S14*$C14</f>
        <v>0</v>
      </c>
      <c r="U14" s="210">
        <f t="shared" ref="U14:U32" si="11">S14+R14</f>
        <v>1</v>
      </c>
      <c r="V14" s="214"/>
      <c r="W14" s="211">
        <f t="shared" ref="W14:W32" si="12">V14*$C14</f>
        <v>0</v>
      </c>
      <c r="X14" s="210">
        <f t="shared" ref="X14:X32" si="13">V14+U14</f>
        <v>1</v>
      </c>
      <c r="Y14" s="214"/>
      <c r="Z14" s="211">
        <f t="shared" ref="Z14:Z32" si="14">Y14*$C14</f>
        <v>0</v>
      </c>
      <c r="AA14" s="210">
        <f t="shared" ref="AA14:AA32" si="15">Y14+X14</f>
        <v>1</v>
      </c>
      <c r="AB14" s="214"/>
      <c r="AC14" s="211">
        <f t="shared" ref="AC14:AC32" si="16">AB14*$C14</f>
        <v>0</v>
      </c>
      <c r="AD14" s="210">
        <f t="shared" ref="AD14:AD32" si="17">AB14+AA14</f>
        <v>1</v>
      </c>
      <c r="AE14" s="214"/>
      <c r="AF14" s="211">
        <f t="shared" ref="AF14:AF32" si="18">AE14*$C14</f>
        <v>0</v>
      </c>
      <c r="AG14" s="210">
        <f t="shared" ref="AG14:AG32" si="19">AE14+AD14</f>
        <v>1</v>
      </c>
      <c r="AH14" s="214"/>
      <c r="AI14" s="211">
        <f t="shared" ref="AI14:AI32" si="20">AH14*$C14</f>
        <v>0</v>
      </c>
      <c r="AJ14" s="210">
        <f t="shared" ref="AJ14:AJ32" si="21">AH14+AG14</f>
        <v>1</v>
      </c>
      <c r="AK14" s="214"/>
      <c r="AL14" s="211">
        <f t="shared" ref="AL14:AL32" si="22">AK14*$C14</f>
        <v>0</v>
      </c>
      <c r="AM14" s="210">
        <f t="shared" ref="AM14:AM32" si="23">AK14+AJ14</f>
        <v>1</v>
      </c>
      <c r="AN14" s="214"/>
      <c r="AO14" s="211">
        <f t="shared" ref="AO14:AO32" si="24">AN14*$C14</f>
        <v>0</v>
      </c>
      <c r="AP14" s="210">
        <f t="shared" ref="AP14:AP32" si="25">AN14+AM14</f>
        <v>1</v>
      </c>
      <c r="AQ14" s="214"/>
      <c r="AR14" s="211">
        <f t="shared" ref="AR14:AR32" si="26">AQ14*$C14</f>
        <v>0</v>
      </c>
      <c r="AS14" s="210">
        <f t="shared" ref="AS14:AS32" si="27">AQ14+AP14</f>
        <v>1</v>
      </c>
      <c r="AT14" s="214"/>
      <c r="AU14" s="211">
        <f t="shared" ref="AU14:AU32" si="28">AT14*$C14</f>
        <v>0</v>
      </c>
      <c r="AV14" s="210">
        <f t="shared" ref="AV14:AV32" si="29">AT14+AS14</f>
        <v>1</v>
      </c>
      <c r="AW14" s="214"/>
      <c r="AX14" s="211">
        <f t="shared" ref="AX14:AX32" si="30">AW14*$C14</f>
        <v>0</v>
      </c>
      <c r="AY14" s="429">
        <f t="shared" ref="AY14:AY32" si="31">AW14+AV14</f>
        <v>1</v>
      </c>
      <c r="AZ14" s="214"/>
      <c r="BA14" s="211">
        <f t="shared" ref="BA14:BA32" si="32">AZ14*$C14</f>
        <v>0</v>
      </c>
      <c r="BB14" s="210">
        <f t="shared" ref="BB14:BB32" si="33">AZ14+AY14</f>
        <v>1</v>
      </c>
      <c r="BC14" s="214"/>
      <c r="BD14" s="211">
        <f t="shared" ref="BD14:BD32" si="34">BC14*$C14</f>
        <v>0</v>
      </c>
      <c r="BE14" s="210">
        <f t="shared" ref="BE14:BE32" si="35">BC14+BB14</f>
        <v>1</v>
      </c>
    </row>
    <row r="15" spans="1:57" ht="16.5" customHeight="1">
      <c r="A15" s="10">
        <v>3</v>
      </c>
      <c r="B15" s="206" t="str">
        <f>VLOOKUP(A15,'PLAN. ORÇAM.'!C19:K385,2)</f>
        <v>GALPÃO COBERTO</v>
      </c>
      <c r="C15" s="219">
        <f>VLOOKUP(A15,'PLAN. ORÇAM.'!C19:K385,9)</f>
        <v>3143798.71</v>
      </c>
      <c r="D15" s="214"/>
      <c r="E15" s="211">
        <f t="shared" si="0"/>
        <v>0</v>
      </c>
      <c r="F15" s="210">
        <f t="shared" si="1"/>
        <v>0</v>
      </c>
      <c r="G15" s="214">
        <v>0.1</v>
      </c>
      <c r="H15" s="211">
        <f t="shared" si="2"/>
        <v>314379.87</v>
      </c>
      <c r="I15" s="210">
        <f t="shared" si="3"/>
        <v>0.1</v>
      </c>
      <c r="J15" s="214">
        <v>0.1</v>
      </c>
      <c r="K15" s="211">
        <f t="shared" si="4"/>
        <v>314379.87</v>
      </c>
      <c r="L15" s="210">
        <f t="shared" si="5"/>
        <v>0.2</v>
      </c>
      <c r="M15" s="214">
        <v>0.1</v>
      </c>
      <c r="N15" s="211">
        <f t="shared" si="6"/>
        <v>314379.87</v>
      </c>
      <c r="O15" s="210">
        <f t="shared" si="7"/>
        <v>0.3</v>
      </c>
      <c r="P15" s="214">
        <v>0.1</v>
      </c>
      <c r="Q15" s="211">
        <f t="shared" si="8"/>
        <v>314379.87</v>
      </c>
      <c r="R15" s="210">
        <f t="shared" si="9"/>
        <v>0.4</v>
      </c>
      <c r="S15" s="214">
        <v>0.1</v>
      </c>
      <c r="T15" s="211">
        <f t="shared" si="10"/>
        <v>314379.87</v>
      </c>
      <c r="U15" s="210">
        <f t="shared" si="11"/>
        <v>0.5</v>
      </c>
      <c r="V15" s="214">
        <v>0.1</v>
      </c>
      <c r="W15" s="211">
        <f t="shared" si="12"/>
        <v>314379.87</v>
      </c>
      <c r="X15" s="210">
        <f t="shared" si="13"/>
        <v>0.6</v>
      </c>
      <c r="Y15" s="214">
        <v>0.1</v>
      </c>
      <c r="Z15" s="211">
        <f t="shared" si="14"/>
        <v>314379.87</v>
      </c>
      <c r="AA15" s="210">
        <f t="shared" si="15"/>
        <v>0.7</v>
      </c>
      <c r="AB15" s="214">
        <v>0.12</v>
      </c>
      <c r="AC15" s="211">
        <f t="shared" si="16"/>
        <v>377255.85</v>
      </c>
      <c r="AD15" s="210">
        <f t="shared" si="17"/>
        <v>0.82</v>
      </c>
      <c r="AE15" s="214">
        <v>0.18</v>
      </c>
      <c r="AF15" s="211">
        <f t="shared" si="18"/>
        <v>565883.77</v>
      </c>
      <c r="AG15" s="210">
        <f t="shared" si="19"/>
        <v>1</v>
      </c>
      <c r="AH15" s="214">
        <v>0</v>
      </c>
      <c r="AI15" s="211">
        <f t="shared" si="20"/>
        <v>0</v>
      </c>
      <c r="AJ15" s="210">
        <f t="shared" si="21"/>
        <v>1</v>
      </c>
      <c r="AK15" s="214"/>
      <c r="AL15" s="211">
        <f t="shared" si="22"/>
        <v>0</v>
      </c>
      <c r="AM15" s="210">
        <f t="shared" si="23"/>
        <v>1</v>
      </c>
      <c r="AN15" s="214"/>
      <c r="AO15" s="211">
        <f t="shared" si="24"/>
        <v>0</v>
      </c>
      <c r="AP15" s="210">
        <f t="shared" si="25"/>
        <v>1</v>
      </c>
      <c r="AQ15" s="214"/>
      <c r="AR15" s="211">
        <f t="shared" si="26"/>
        <v>0</v>
      </c>
      <c r="AS15" s="210">
        <f t="shared" si="27"/>
        <v>1</v>
      </c>
      <c r="AT15" s="214"/>
      <c r="AU15" s="211">
        <f t="shared" si="28"/>
        <v>0</v>
      </c>
      <c r="AV15" s="210">
        <f t="shared" si="29"/>
        <v>1</v>
      </c>
      <c r="AW15" s="214"/>
      <c r="AX15" s="211">
        <f t="shared" si="30"/>
        <v>0</v>
      </c>
      <c r="AY15" s="429">
        <f t="shared" si="31"/>
        <v>1</v>
      </c>
      <c r="AZ15" s="214"/>
      <c r="BA15" s="211">
        <f t="shared" si="32"/>
        <v>0</v>
      </c>
      <c r="BB15" s="210">
        <f t="shared" si="33"/>
        <v>1</v>
      </c>
      <c r="BC15" s="214"/>
      <c r="BD15" s="211">
        <f t="shared" si="34"/>
        <v>0</v>
      </c>
      <c r="BE15" s="210">
        <f t="shared" si="35"/>
        <v>1</v>
      </c>
    </row>
    <row r="16" spans="1:57" ht="15.75" customHeight="1">
      <c r="A16" s="11">
        <v>4</v>
      </c>
      <c r="B16" s="206" t="str">
        <f>VLOOKUP(A16,'PLAN. ORÇAM.'!C20:K386,2)</f>
        <v>ATERRO E CONTRAPISO INTERNO</v>
      </c>
      <c r="C16" s="219">
        <f>VLOOKUP(A16,'PLAN. ORÇAM.'!C20:K386,9)</f>
        <v>332824</v>
      </c>
      <c r="D16" s="214"/>
      <c r="E16" s="211">
        <f t="shared" si="0"/>
        <v>0</v>
      </c>
      <c r="F16" s="210">
        <f t="shared" si="1"/>
        <v>0</v>
      </c>
      <c r="G16" s="214"/>
      <c r="H16" s="211">
        <f t="shared" si="2"/>
        <v>0</v>
      </c>
      <c r="I16" s="210">
        <f t="shared" si="3"/>
        <v>0</v>
      </c>
      <c r="J16" s="214">
        <v>0.1</v>
      </c>
      <c r="K16" s="211">
        <f t="shared" si="4"/>
        <v>33282.400000000001</v>
      </c>
      <c r="L16" s="210">
        <f t="shared" si="5"/>
        <v>0.1</v>
      </c>
      <c r="M16" s="214">
        <v>0.1</v>
      </c>
      <c r="N16" s="211">
        <f t="shared" si="6"/>
        <v>33282.400000000001</v>
      </c>
      <c r="O16" s="210">
        <f t="shared" si="7"/>
        <v>0.2</v>
      </c>
      <c r="P16" s="214"/>
      <c r="Q16" s="211">
        <f t="shared" si="8"/>
        <v>0</v>
      </c>
      <c r="R16" s="210">
        <f t="shared" si="9"/>
        <v>0.2</v>
      </c>
      <c r="S16" s="214"/>
      <c r="T16" s="211">
        <f t="shared" si="10"/>
        <v>0</v>
      </c>
      <c r="U16" s="210">
        <f t="shared" si="11"/>
        <v>0.2</v>
      </c>
      <c r="V16" s="214">
        <v>0.2</v>
      </c>
      <c r="W16" s="211">
        <f t="shared" si="12"/>
        <v>66564.800000000003</v>
      </c>
      <c r="X16" s="210">
        <f t="shared" si="13"/>
        <v>0.4</v>
      </c>
      <c r="Y16" s="214">
        <v>0.2</v>
      </c>
      <c r="Z16" s="211">
        <f t="shared" si="14"/>
        <v>66564.800000000003</v>
      </c>
      <c r="AA16" s="210">
        <f t="shared" si="15"/>
        <v>0.6</v>
      </c>
      <c r="AB16" s="214">
        <v>0.2</v>
      </c>
      <c r="AC16" s="211">
        <f t="shared" si="16"/>
        <v>66564.800000000003</v>
      </c>
      <c r="AD16" s="210">
        <f t="shared" si="17"/>
        <v>0.8</v>
      </c>
      <c r="AE16" s="214">
        <v>0.2</v>
      </c>
      <c r="AF16" s="211">
        <f t="shared" si="18"/>
        <v>66564.800000000003</v>
      </c>
      <c r="AG16" s="210">
        <f t="shared" si="19"/>
        <v>1</v>
      </c>
      <c r="AH16" s="214"/>
      <c r="AI16" s="211">
        <f t="shared" si="20"/>
        <v>0</v>
      </c>
      <c r="AJ16" s="210">
        <f t="shared" si="21"/>
        <v>1</v>
      </c>
      <c r="AK16" s="214"/>
      <c r="AL16" s="211">
        <f t="shared" si="22"/>
        <v>0</v>
      </c>
      <c r="AM16" s="210">
        <f t="shared" si="23"/>
        <v>1</v>
      </c>
      <c r="AN16" s="214"/>
      <c r="AO16" s="211">
        <f t="shared" si="24"/>
        <v>0</v>
      </c>
      <c r="AP16" s="210">
        <f t="shared" si="25"/>
        <v>1</v>
      </c>
      <c r="AQ16" s="214"/>
      <c r="AR16" s="211">
        <f t="shared" si="26"/>
        <v>0</v>
      </c>
      <c r="AS16" s="210">
        <f t="shared" si="27"/>
        <v>1</v>
      </c>
      <c r="AT16" s="214"/>
      <c r="AU16" s="211">
        <f t="shared" si="28"/>
        <v>0</v>
      </c>
      <c r="AV16" s="210">
        <f t="shared" si="29"/>
        <v>1</v>
      </c>
      <c r="AW16" s="214"/>
      <c r="AX16" s="211">
        <f t="shared" si="30"/>
        <v>0</v>
      </c>
      <c r="AY16" s="429">
        <f t="shared" si="31"/>
        <v>1</v>
      </c>
      <c r="AZ16" s="214"/>
      <c r="BA16" s="211">
        <f t="shared" si="32"/>
        <v>0</v>
      </c>
      <c r="BB16" s="210">
        <f t="shared" si="33"/>
        <v>1</v>
      </c>
      <c r="BC16" s="214"/>
      <c r="BD16" s="211">
        <f t="shared" si="34"/>
        <v>0</v>
      </c>
      <c r="BE16" s="210">
        <f t="shared" si="35"/>
        <v>1</v>
      </c>
    </row>
    <row r="17" spans="1:57" ht="15.75" customHeight="1">
      <c r="A17" s="10">
        <v>5</v>
      </c>
      <c r="B17" s="206" t="str">
        <f>VLOOKUP(A17,'PLAN. ORÇAM.'!C21:K387,2)</f>
        <v>CASA DOS RESERVATÓRIOS</v>
      </c>
      <c r="C17" s="219">
        <f>VLOOKUP(A17,'PLAN. ORÇAM.'!C21:K387,9)</f>
        <v>75330.23</v>
      </c>
      <c r="D17" s="214"/>
      <c r="E17" s="211">
        <f t="shared" si="0"/>
        <v>0</v>
      </c>
      <c r="F17" s="210">
        <f t="shared" si="1"/>
        <v>0</v>
      </c>
      <c r="G17" s="214"/>
      <c r="H17" s="211">
        <f t="shared" si="2"/>
        <v>0</v>
      </c>
      <c r="I17" s="210">
        <f t="shared" si="3"/>
        <v>0</v>
      </c>
      <c r="J17" s="214"/>
      <c r="K17" s="211">
        <f t="shared" si="4"/>
        <v>0</v>
      </c>
      <c r="L17" s="210">
        <f t="shared" si="5"/>
        <v>0</v>
      </c>
      <c r="M17" s="214">
        <v>0.05</v>
      </c>
      <c r="N17" s="211">
        <f t="shared" si="6"/>
        <v>3766.51</v>
      </c>
      <c r="O17" s="210">
        <f t="shared" si="7"/>
        <v>0.05</v>
      </c>
      <c r="P17" s="214">
        <v>0.2</v>
      </c>
      <c r="Q17" s="211">
        <f t="shared" si="8"/>
        <v>15066.05</v>
      </c>
      <c r="R17" s="210">
        <f t="shared" si="9"/>
        <v>0.25</v>
      </c>
      <c r="S17" s="214">
        <v>0.3</v>
      </c>
      <c r="T17" s="211">
        <f t="shared" si="10"/>
        <v>22599.07</v>
      </c>
      <c r="U17" s="210">
        <f t="shared" si="11"/>
        <v>0.55000000000000004</v>
      </c>
      <c r="V17" s="214">
        <v>0.4</v>
      </c>
      <c r="W17" s="211">
        <f t="shared" si="12"/>
        <v>30132.09</v>
      </c>
      <c r="X17" s="210">
        <f t="shared" si="13"/>
        <v>0.95</v>
      </c>
      <c r="Y17" s="214">
        <v>0.05</v>
      </c>
      <c r="Z17" s="211">
        <f t="shared" si="14"/>
        <v>3766.51</v>
      </c>
      <c r="AA17" s="210">
        <f t="shared" si="15"/>
        <v>1</v>
      </c>
      <c r="AB17" s="214"/>
      <c r="AC17" s="211">
        <f t="shared" si="16"/>
        <v>0</v>
      </c>
      <c r="AD17" s="210">
        <f t="shared" si="17"/>
        <v>1</v>
      </c>
      <c r="AE17" s="214"/>
      <c r="AF17" s="211">
        <f t="shared" si="18"/>
        <v>0</v>
      </c>
      <c r="AG17" s="210">
        <f t="shared" si="19"/>
        <v>1</v>
      </c>
      <c r="AH17" s="214"/>
      <c r="AI17" s="211">
        <f t="shared" si="20"/>
        <v>0</v>
      </c>
      <c r="AJ17" s="210">
        <f t="shared" si="21"/>
        <v>1</v>
      </c>
      <c r="AK17" s="214"/>
      <c r="AL17" s="211">
        <f t="shared" si="22"/>
        <v>0</v>
      </c>
      <c r="AM17" s="210">
        <f t="shared" si="23"/>
        <v>1</v>
      </c>
      <c r="AN17" s="214"/>
      <c r="AO17" s="211">
        <f t="shared" si="24"/>
        <v>0</v>
      </c>
      <c r="AP17" s="210">
        <f t="shared" si="25"/>
        <v>1</v>
      </c>
      <c r="AQ17" s="214"/>
      <c r="AR17" s="211">
        <f t="shared" si="26"/>
        <v>0</v>
      </c>
      <c r="AS17" s="210">
        <f t="shared" si="27"/>
        <v>1</v>
      </c>
      <c r="AT17" s="214"/>
      <c r="AU17" s="211">
        <f t="shared" si="28"/>
        <v>0</v>
      </c>
      <c r="AV17" s="210">
        <f t="shared" si="29"/>
        <v>1</v>
      </c>
      <c r="AW17" s="214"/>
      <c r="AX17" s="211">
        <f t="shared" si="30"/>
        <v>0</v>
      </c>
      <c r="AY17" s="429">
        <f t="shared" si="31"/>
        <v>1</v>
      </c>
      <c r="AZ17" s="214"/>
      <c r="BA17" s="211">
        <f t="shared" si="32"/>
        <v>0</v>
      </c>
      <c r="BB17" s="210">
        <f t="shared" si="33"/>
        <v>1</v>
      </c>
      <c r="BC17" s="214"/>
      <c r="BD17" s="211">
        <f t="shared" si="34"/>
        <v>0</v>
      </c>
      <c r="BE17" s="210">
        <f t="shared" si="35"/>
        <v>1</v>
      </c>
    </row>
    <row r="18" spans="1:57" ht="16.5" customHeight="1">
      <c r="A18" s="11">
        <v>6</v>
      </c>
      <c r="B18" s="206" t="str">
        <f>VLOOKUP(A18,'PLAN. ORÇAM.'!C22:K388,2)</f>
        <v>PAREDES E BANCADAS</v>
      </c>
      <c r="C18" s="219">
        <f>VLOOKUP(A18,'PLAN. ORÇAM.'!C22:K388,9)</f>
        <v>901103.61</v>
      </c>
      <c r="D18" s="214"/>
      <c r="E18" s="211">
        <f t="shared" si="0"/>
        <v>0</v>
      </c>
      <c r="F18" s="210">
        <f t="shared" si="1"/>
        <v>0</v>
      </c>
      <c r="G18" s="214"/>
      <c r="H18" s="211">
        <f t="shared" si="2"/>
        <v>0</v>
      </c>
      <c r="I18" s="210">
        <f t="shared" si="3"/>
        <v>0</v>
      </c>
      <c r="J18" s="214"/>
      <c r="K18" s="211">
        <f t="shared" si="4"/>
        <v>0</v>
      </c>
      <c r="L18" s="210">
        <f t="shared" si="5"/>
        <v>0</v>
      </c>
      <c r="M18" s="214"/>
      <c r="N18" s="211">
        <f t="shared" si="6"/>
        <v>0</v>
      </c>
      <c r="O18" s="210">
        <f t="shared" si="7"/>
        <v>0</v>
      </c>
      <c r="P18" s="214"/>
      <c r="Q18" s="211">
        <f t="shared" si="8"/>
        <v>0</v>
      </c>
      <c r="R18" s="210">
        <f t="shared" si="9"/>
        <v>0</v>
      </c>
      <c r="S18" s="214"/>
      <c r="T18" s="211">
        <f t="shared" si="10"/>
        <v>0</v>
      </c>
      <c r="U18" s="210">
        <f t="shared" si="11"/>
        <v>0</v>
      </c>
      <c r="V18" s="214"/>
      <c r="W18" s="211">
        <f t="shared" si="12"/>
        <v>0</v>
      </c>
      <c r="X18" s="210">
        <f t="shared" si="13"/>
        <v>0</v>
      </c>
      <c r="Y18" s="214">
        <v>0.2</v>
      </c>
      <c r="Z18" s="211">
        <f t="shared" si="14"/>
        <v>180220.72</v>
      </c>
      <c r="AA18" s="210">
        <f t="shared" si="15"/>
        <v>0.2</v>
      </c>
      <c r="AB18" s="214">
        <v>0.2</v>
      </c>
      <c r="AC18" s="211">
        <f t="shared" si="16"/>
        <v>180220.72</v>
      </c>
      <c r="AD18" s="210">
        <f t="shared" si="17"/>
        <v>0.4</v>
      </c>
      <c r="AE18" s="214">
        <v>0.2</v>
      </c>
      <c r="AF18" s="211">
        <f t="shared" si="18"/>
        <v>180220.72</v>
      </c>
      <c r="AG18" s="210">
        <f t="shared" si="19"/>
        <v>0.6</v>
      </c>
      <c r="AH18" s="214">
        <v>0.3</v>
      </c>
      <c r="AI18" s="211">
        <f t="shared" si="20"/>
        <v>270331.08</v>
      </c>
      <c r="AJ18" s="210">
        <f t="shared" si="21"/>
        <v>0.9</v>
      </c>
      <c r="AK18" s="214">
        <v>0.1</v>
      </c>
      <c r="AL18" s="211">
        <f t="shared" si="22"/>
        <v>90110.36</v>
      </c>
      <c r="AM18" s="210">
        <f t="shared" si="23"/>
        <v>1</v>
      </c>
      <c r="AN18" s="214"/>
      <c r="AO18" s="211">
        <f t="shared" si="24"/>
        <v>0</v>
      </c>
      <c r="AP18" s="210">
        <f t="shared" si="25"/>
        <v>1</v>
      </c>
      <c r="AQ18" s="214"/>
      <c r="AR18" s="211">
        <f t="shared" si="26"/>
        <v>0</v>
      </c>
      <c r="AS18" s="210">
        <f t="shared" si="27"/>
        <v>1</v>
      </c>
      <c r="AT18" s="214"/>
      <c r="AU18" s="211">
        <f t="shared" si="28"/>
        <v>0</v>
      </c>
      <c r="AV18" s="210">
        <f t="shared" si="29"/>
        <v>1</v>
      </c>
      <c r="AW18" s="214"/>
      <c r="AX18" s="211">
        <f t="shared" si="30"/>
        <v>0</v>
      </c>
      <c r="AY18" s="429">
        <f t="shared" si="31"/>
        <v>1</v>
      </c>
      <c r="AZ18" s="214"/>
      <c r="BA18" s="211">
        <f t="shared" si="32"/>
        <v>0</v>
      </c>
      <c r="BB18" s="210">
        <f t="shared" si="33"/>
        <v>1</v>
      </c>
      <c r="BC18" s="214"/>
      <c r="BD18" s="211">
        <f t="shared" si="34"/>
        <v>0</v>
      </c>
      <c r="BE18" s="210">
        <f t="shared" si="35"/>
        <v>1</v>
      </c>
    </row>
    <row r="19" spans="1:57" ht="15.75" customHeight="1">
      <c r="A19" s="10">
        <v>7</v>
      </c>
      <c r="B19" s="206" t="str">
        <f>VLOOKUP(A19,'PLAN. ORÇAM.'!C23:K389,2)</f>
        <v>ESGOTO e DRENAGEM</v>
      </c>
      <c r="C19" s="219">
        <f>VLOOKUP(A19,'PLAN. ORÇAM.'!C23:K389,9)</f>
        <v>47745.05</v>
      </c>
      <c r="D19" s="214"/>
      <c r="E19" s="211">
        <f t="shared" si="0"/>
        <v>0</v>
      </c>
      <c r="F19" s="210">
        <f t="shared" si="1"/>
        <v>0</v>
      </c>
      <c r="G19" s="214"/>
      <c r="H19" s="211">
        <f t="shared" si="2"/>
        <v>0</v>
      </c>
      <c r="I19" s="210">
        <f t="shared" si="3"/>
        <v>0</v>
      </c>
      <c r="J19" s="214"/>
      <c r="K19" s="211">
        <f t="shared" si="4"/>
        <v>0</v>
      </c>
      <c r="L19" s="210">
        <f t="shared" si="5"/>
        <v>0</v>
      </c>
      <c r="M19" s="214"/>
      <c r="N19" s="211">
        <f t="shared" si="6"/>
        <v>0</v>
      </c>
      <c r="O19" s="210">
        <f t="shared" si="7"/>
        <v>0</v>
      </c>
      <c r="P19" s="214">
        <v>1</v>
      </c>
      <c r="Q19" s="211">
        <f t="shared" si="8"/>
        <v>47745.05</v>
      </c>
      <c r="R19" s="210">
        <f t="shared" si="9"/>
        <v>1</v>
      </c>
      <c r="S19" s="214"/>
      <c r="T19" s="211">
        <f t="shared" si="10"/>
        <v>0</v>
      </c>
      <c r="U19" s="210">
        <f t="shared" si="11"/>
        <v>1</v>
      </c>
      <c r="V19" s="214"/>
      <c r="W19" s="211">
        <f t="shared" si="12"/>
        <v>0</v>
      </c>
      <c r="X19" s="210">
        <f t="shared" si="13"/>
        <v>1</v>
      </c>
      <c r="Y19" s="214"/>
      <c r="Z19" s="211">
        <f t="shared" si="14"/>
        <v>0</v>
      </c>
      <c r="AA19" s="210">
        <f t="shared" si="15"/>
        <v>1</v>
      </c>
      <c r="AB19" s="214"/>
      <c r="AC19" s="211">
        <f t="shared" si="16"/>
        <v>0</v>
      </c>
      <c r="AD19" s="210">
        <f t="shared" si="17"/>
        <v>1</v>
      </c>
      <c r="AE19" s="214"/>
      <c r="AF19" s="211">
        <f t="shared" si="18"/>
        <v>0</v>
      </c>
      <c r="AG19" s="210">
        <f t="shared" si="19"/>
        <v>1</v>
      </c>
      <c r="AH19" s="214"/>
      <c r="AI19" s="211">
        <f t="shared" si="20"/>
        <v>0</v>
      </c>
      <c r="AJ19" s="210">
        <f t="shared" si="21"/>
        <v>1</v>
      </c>
      <c r="AK19" s="214"/>
      <c r="AL19" s="211">
        <f t="shared" si="22"/>
        <v>0</v>
      </c>
      <c r="AM19" s="210">
        <f t="shared" si="23"/>
        <v>1</v>
      </c>
      <c r="AN19" s="214"/>
      <c r="AO19" s="211">
        <f t="shared" si="24"/>
        <v>0</v>
      </c>
      <c r="AP19" s="210">
        <f t="shared" si="25"/>
        <v>1</v>
      </c>
      <c r="AQ19" s="214"/>
      <c r="AR19" s="211">
        <f t="shared" si="26"/>
        <v>0</v>
      </c>
      <c r="AS19" s="210">
        <f t="shared" si="27"/>
        <v>1</v>
      </c>
      <c r="AT19" s="214"/>
      <c r="AU19" s="211">
        <f t="shared" si="28"/>
        <v>0</v>
      </c>
      <c r="AV19" s="210">
        <f t="shared" si="29"/>
        <v>1</v>
      </c>
      <c r="AW19" s="214"/>
      <c r="AX19" s="211">
        <f t="shared" si="30"/>
        <v>0</v>
      </c>
      <c r="AY19" s="429">
        <f t="shared" si="31"/>
        <v>1</v>
      </c>
      <c r="AZ19" s="214"/>
      <c r="BA19" s="211">
        <f t="shared" si="32"/>
        <v>0</v>
      </c>
      <c r="BB19" s="210">
        <f t="shared" si="33"/>
        <v>1</v>
      </c>
      <c r="BC19" s="214"/>
      <c r="BD19" s="211">
        <f t="shared" si="34"/>
        <v>0</v>
      </c>
      <c r="BE19" s="210">
        <f t="shared" si="35"/>
        <v>1</v>
      </c>
    </row>
    <row r="20" spans="1:57" ht="16.5" customHeight="1">
      <c r="A20" s="11">
        <v>8</v>
      </c>
      <c r="B20" s="206" t="str">
        <f>VLOOKUP(A20,'PLAN. ORÇAM.'!C24:K390,2)</f>
        <v>REVESTIMENTO DE PAREDE</v>
      </c>
      <c r="C20" s="219">
        <f>VLOOKUP(A20,'PLAN. ORÇAM.'!C24:K390,9)</f>
        <v>357868.79999999999</v>
      </c>
      <c r="D20" s="214"/>
      <c r="E20" s="211">
        <f t="shared" si="0"/>
        <v>0</v>
      </c>
      <c r="F20" s="210">
        <f t="shared" si="1"/>
        <v>0</v>
      </c>
      <c r="G20" s="214"/>
      <c r="H20" s="211">
        <f t="shared" si="2"/>
        <v>0</v>
      </c>
      <c r="I20" s="210">
        <f t="shared" si="3"/>
        <v>0</v>
      </c>
      <c r="J20" s="214"/>
      <c r="K20" s="211">
        <f t="shared" si="4"/>
        <v>0</v>
      </c>
      <c r="L20" s="210">
        <f t="shared" si="5"/>
        <v>0</v>
      </c>
      <c r="M20" s="214"/>
      <c r="N20" s="211">
        <f t="shared" si="6"/>
        <v>0</v>
      </c>
      <c r="O20" s="210">
        <f t="shared" si="7"/>
        <v>0</v>
      </c>
      <c r="P20" s="214"/>
      <c r="Q20" s="211">
        <f t="shared" si="8"/>
        <v>0</v>
      </c>
      <c r="R20" s="210">
        <f t="shared" si="9"/>
        <v>0</v>
      </c>
      <c r="S20" s="214"/>
      <c r="T20" s="211">
        <f t="shared" si="10"/>
        <v>0</v>
      </c>
      <c r="U20" s="210">
        <f t="shared" si="11"/>
        <v>0</v>
      </c>
      <c r="V20" s="214"/>
      <c r="W20" s="211">
        <f t="shared" si="12"/>
        <v>0</v>
      </c>
      <c r="X20" s="210">
        <f t="shared" si="13"/>
        <v>0</v>
      </c>
      <c r="Y20" s="214"/>
      <c r="Z20" s="211">
        <f t="shared" si="14"/>
        <v>0</v>
      </c>
      <c r="AA20" s="210">
        <f t="shared" si="15"/>
        <v>0</v>
      </c>
      <c r="AB20" s="214"/>
      <c r="AC20" s="211">
        <f t="shared" si="16"/>
        <v>0</v>
      </c>
      <c r="AD20" s="210">
        <f t="shared" si="17"/>
        <v>0</v>
      </c>
      <c r="AE20" s="214">
        <v>0.2</v>
      </c>
      <c r="AF20" s="211">
        <f t="shared" si="18"/>
        <v>71573.759999999995</v>
      </c>
      <c r="AG20" s="210">
        <f t="shared" si="19"/>
        <v>0.2</v>
      </c>
      <c r="AH20" s="214">
        <v>0.3</v>
      </c>
      <c r="AI20" s="211">
        <f t="shared" si="20"/>
        <v>107360.64</v>
      </c>
      <c r="AJ20" s="210">
        <f t="shared" si="21"/>
        <v>0.5</v>
      </c>
      <c r="AK20" s="214">
        <v>0.5</v>
      </c>
      <c r="AL20" s="211">
        <f t="shared" si="22"/>
        <v>178934.39999999999</v>
      </c>
      <c r="AM20" s="210">
        <f t="shared" si="23"/>
        <v>1</v>
      </c>
      <c r="AN20" s="214"/>
      <c r="AO20" s="211">
        <f t="shared" si="24"/>
        <v>0</v>
      </c>
      <c r="AP20" s="210">
        <f t="shared" si="25"/>
        <v>1</v>
      </c>
      <c r="AQ20" s="214"/>
      <c r="AR20" s="211">
        <f t="shared" si="26"/>
        <v>0</v>
      </c>
      <c r="AS20" s="210">
        <f t="shared" si="27"/>
        <v>1</v>
      </c>
      <c r="AT20" s="214"/>
      <c r="AU20" s="211">
        <f t="shared" si="28"/>
        <v>0</v>
      </c>
      <c r="AV20" s="210">
        <f t="shared" si="29"/>
        <v>1</v>
      </c>
      <c r="AW20" s="214"/>
      <c r="AX20" s="211">
        <f t="shared" si="30"/>
        <v>0</v>
      </c>
      <c r="AY20" s="429">
        <f t="shared" si="31"/>
        <v>1</v>
      </c>
      <c r="AZ20" s="214"/>
      <c r="BA20" s="211">
        <f t="shared" si="32"/>
        <v>0</v>
      </c>
      <c r="BB20" s="210">
        <f t="shared" si="33"/>
        <v>1</v>
      </c>
      <c r="BC20" s="214"/>
      <c r="BD20" s="211">
        <f t="shared" si="34"/>
        <v>0</v>
      </c>
      <c r="BE20" s="210">
        <f t="shared" si="35"/>
        <v>1</v>
      </c>
    </row>
    <row r="21" spans="1:57" ht="15" customHeight="1">
      <c r="A21" s="10">
        <v>9</v>
      </c>
      <c r="B21" s="206" t="str">
        <f>VLOOKUP(A21,'PLAN. ORÇAM.'!C25:K391,2)</f>
        <v>REVESTIMENTO DE PAREDE E PISO</v>
      </c>
      <c r="C21" s="219">
        <f>VLOOKUP(A21,'PLAN. ORÇAM.'!C25:K391,9)</f>
        <v>277963.92</v>
      </c>
      <c r="D21" s="214"/>
      <c r="E21" s="211">
        <f t="shared" si="0"/>
        <v>0</v>
      </c>
      <c r="F21" s="210">
        <f t="shared" si="1"/>
        <v>0</v>
      </c>
      <c r="G21" s="214"/>
      <c r="H21" s="211">
        <f t="shared" si="2"/>
        <v>0</v>
      </c>
      <c r="I21" s="210">
        <f t="shared" si="3"/>
        <v>0</v>
      </c>
      <c r="J21" s="214"/>
      <c r="K21" s="211">
        <f t="shared" si="4"/>
        <v>0</v>
      </c>
      <c r="L21" s="210">
        <f t="shared" si="5"/>
        <v>0</v>
      </c>
      <c r="M21" s="214"/>
      <c r="N21" s="211">
        <f t="shared" si="6"/>
        <v>0</v>
      </c>
      <c r="O21" s="210">
        <f t="shared" si="7"/>
        <v>0</v>
      </c>
      <c r="P21" s="214"/>
      <c r="Q21" s="211">
        <f t="shared" si="8"/>
        <v>0</v>
      </c>
      <c r="R21" s="210">
        <f t="shared" si="9"/>
        <v>0</v>
      </c>
      <c r="S21" s="214"/>
      <c r="T21" s="211">
        <f t="shared" si="10"/>
        <v>0</v>
      </c>
      <c r="U21" s="210">
        <f t="shared" si="11"/>
        <v>0</v>
      </c>
      <c r="V21" s="214"/>
      <c r="W21" s="211">
        <f t="shared" si="12"/>
        <v>0</v>
      </c>
      <c r="X21" s="210">
        <f t="shared" si="13"/>
        <v>0</v>
      </c>
      <c r="Y21" s="214"/>
      <c r="Z21" s="211">
        <f t="shared" si="14"/>
        <v>0</v>
      </c>
      <c r="AA21" s="210">
        <f t="shared" si="15"/>
        <v>0</v>
      </c>
      <c r="AB21" s="214"/>
      <c r="AC21" s="211">
        <f t="shared" si="16"/>
        <v>0</v>
      </c>
      <c r="AD21" s="210">
        <f t="shared" si="17"/>
        <v>0</v>
      </c>
      <c r="AE21" s="214"/>
      <c r="AF21" s="211">
        <f t="shared" si="18"/>
        <v>0</v>
      </c>
      <c r="AG21" s="210">
        <f t="shared" si="19"/>
        <v>0</v>
      </c>
      <c r="AH21" s="214"/>
      <c r="AI21" s="211">
        <f t="shared" si="20"/>
        <v>0</v>
      </c>
      <c r="AJ21" s="210">
        <f t="shared" si="21"/>
        <v>0</v>
      </c>
      <c r="AK21" s="214"/>
      <c r="AL21" s="211">
        <f t="shared" si="22"/>
        <v>0</v>
      </c>
      <c r="AM21" s="210">
        <f t="shared" si="23"/>
        <v>0</v>
      </c>
      <c r="AN21" s="214">
        <v>0.5</v>
      </c>
      <c r="AO21" s="211">
        <f t="shared" si="24"/>
        <v>138981.96</v>
      </c>
      <c r="AP21" s="210">
        <f t="shared" si="25"/>
        <v>0.5</v>
      </c>
      <c r="AQ21" s="214"/>
      <c r="AR21" s="211">
        <f t="shared" si="26"/>
        <v>0</v>
      </c>
      <c r="AS21" s="210">
        <f t="shared" si="27"/>
        <v>0.5</v>
      </c>
      <c r="AT21" s="214">
        <v>0.5</v>
      </c>
      <c r="AU21" s="211">
        <f t="shared" si="28"/>
        <v>138981.96</v>
      </c>
      <c r="AV21" s="210">
        <f t="shared" si="29"/>
        <v>1</v>
      </c>
      <c r="AW21" s="214"/>
      <c r="AX21" s="211">
        <f t="shared" si="30"/>
        <v>0</v>
      </c>
      <c r="AY21" s="429">
        <f t="shared" si="31"/>
        <v>1</v>
      </c>
      <c r="AZ21" s="214"/>
      <c r="BA21" s="211">
        <f t="shared" si="32"/>
        <v>0</v>
      </c>
      <c r="BB21" s="210">
        <f t="shared" si="33"/>
        <v>1</v>
      </c>
      <c r="BC21" s="214"/>
      <c r="BD21" s="211">
        <f t="shared" si="34"/>
        <v>0</v>
      </c>
      <c r="BE21" s="210">
        <f t="shared" si="35"/>
        <v>1</v>
      </c>
    </row>
    <row r="22" spans="1:57" ht="15" customHeight="1">
      <c r="A22" s="11">
        <v>10</v>
      </c>
      <c r="B22" s="206" t="str">
        <f>VLOOKUP(A22,'PLAN. ORÇAM.'!C26:K392,2)</f>
        <v>ESQUADRIAS</v>
      </c>
      <c r="C22" s="219">
        <f>VLOOKUP(A22,'PLAN. ORÇAM.'!C26:K392,9)</f>
        <v>1332744.4099999999</v>
      </c>
      <c r="D22" s="214"/>
      <c r="E22" s="211">
        <f t="shared" si="0"/>
        <v>0</v>
      </c>
      <c r="F22" s="210">
        <f t="shared" si="1"/>
        <v>0</v>
      </c>
      <c r="G22" s="214"/>
      <c r="H22" s="211">
        <f t="shared" si="2"/>
        <v>0</v>
      </c>
      <c r="I22" s="210">
        <f t="shared" si="3"/>
        <v>0</v>
      </c>
      <c r="J22" s="214"/>
      <c r="K22" s="211">
        <f t="shared" si="4"/>
        <v>0</v>
      </c>
      <c r="L22" s="210">
        <f t="shared" si="5"/>
        <v>0</v>
      </c>
      <c r="M22" s="214"/>
      <c r="N22" s="211">
        <f t="shared" si="6"/>
        <v>0</v>
      </c>
      <c r="O22" s="210">
        <f t="shared" si="7"/>
        <v>0</v>
      </c>
      <c r="P22" s="214"/>
      <c r="Q22" s="211">
        <f t="shared" si="8"/>
        <v>0</v>
      </c>
      <c r="R22" s="210">
        <f t="shared" si="9"/>
        <v>0</v>
      </c>
      <c r="S22" s="214"/>
      <c r="T22" s="211">
        <f t="shared" si="10"/>
        <v>0</v>
      </c>
      <c r="U22" s="210">
        <f t="shared" si="11"/>
        <v>0</v>
      </c>
      <c r="V22" s="214"/>
      <c r="W22" s="211">
        <f t="shared" si="12"/>
        <v>0</v>
      </c>
      <c r="X22" s="210">
        <f t="shared" si="13"/>
        <v>0</v>
      </c>
      <c r="Y22" s="214"/>
      <c r="Z22" s="211">
        <f t="shared" si="14"/>
        <v>0</v>
      </c>
      <c r="AA22" s="210">
        <f t="shared" si="15"/>
        <v>0</v>
      </c>
      <c r="AB22" s="214"/>
      <c r="AC22" s="211">
        <f t="shared" si="16"/>
        <v>0</v>
      </c>
      <c r="AD22" s="210">
        <f t="shared" si="17"/>
        <v>0</v>
      </c>
      <c r="AE22" s="214"/>
      <c r="AF22" s="211">
        <f t="shared" si="18"/>
        <v>0</v>
      </c>
      <c r="AG22" s="210">
        <f t="shared" si="19"/>
        <v>0</v>
      </c>
      <c r="AH22" s="214"/>
      <c r="AI22" s="211">
        <f t="shared" si="20"/>
        <v>0</v>
      </c>
      <c r="AJ22" s="210">
        <f t="shared" si="21"/>
        <v>0</v>
      </c>
      <c r="AK22" s="214"/>
      <c r="AL22" s="211">
        <f t="shared" si="22"/>
        <v>0</v>
      </c>
      <c r="AM22" s="210">
        <f t="shared" si="23"/>
        <v>0</v>
      </c>
      <c r="AN22" s="214">
        <v>0.4</v>
      </c>
      <c r="AO22" s="211">
        <f t="shared" si="24"/>
        <v>533097.76</v>
      </c>
      <c r="AP22" s="210">
        <f t="shared" si="25"/>
        <v>0.4</v>
      </c>
      <c r="AQ22" s="214">
        <v>0.4</v>
      </c>
      <c r="AR22" s="211">
        <f t="shared" si="26"/>
        <v>533097.76</v>
      </c>
      <c r="AS22" s="210">
        <f t="shared" si="27"/>
        <v>0.8</v>
      </c>
      <c r="AT22" s="214">
        <v>0.2</v>
      </c>
      <c r="AU22" s="211">
        <f t="shared" si="28"/>
        <v>266548.88</v>
      </c>
      <c r="AV22" s="210">
        <f t="shared" si="29"/>
        <v>1</v>
      </c>
      <c r="AW22" s="214"/>
      <c r="AX22" s="211">
        <f t="shared" si="30"/>
        <v>0</v>
      </c>
      <c r="AY22" s="429">
        <f t="shared" si="31"/>
        <v>1</v>
      </c>
      <c r="AZ22" s="214"/>
      <c r="BA22" s="211">
        <f t="shared" si="32"/>
        <v>0</v>
      </c>
      <c r="BB22" s="210">
        <f t="shared" si="33"/>
        <v>1</v>
      </c>
      <c r="BC22" s="214"/>
      <c r="BD22" s="211">
        <f t="shared" si="34"/>
        <v>0</v>
      </c>
      <c r="BE22" s="210">
        <f t="shared" si="35"/>
        <v>1</v>
      </c>
    </row>
    <row r="23" spans="1:57" ht="15" customHeight="1">
      <c r="A23" s="10">
        <v>11</v>
      </c>
      <c r="B23" s="206" t="str">
        <f>VLOOKUP(A23,'PLAN. ORÇAM.'!C27:K393,2)</f>
        <v>VIDROS</v>
      </c>
      <c r="C23" s="219">
        <f>VLOOKUP(A23,'PLAN. ORÇAM.'!C27:K393,9)</f>
        <v>168646</v>
      </c>
      <c r="D23" s="214"/>
      <c r="E23" s="211">
        <f t="shared" si="0"/>
        <v>0</v>
      </c>
      <c r="F23" s="210">
        <f t="shared" si="1"/>
        <v>0</v>
      </c>
      <c r="G23" s="214"/>
      <c r="H23" s="211">
        <f t="shared" si="2"/>
        <v>0</v>
      </c>
      <c r="I23" s="210">
        <f t="shared" si="3"/>
        <v>0</v>
      </c>
      <c r="J23" s="214"/>
      <c r="K23" s="211">
        <f t="shared" si="4"/>
        <v>0</v>
      </c>
      <c r="L23" s="210">
        <f t="shared" si="5"/>
        <v>0</v>
      </c>
      <c r="M23" s="214"/>
      <c r="N23" s="211">
        <f t="shared" si="6"/>
        <v>0</v>
      </c>
      <c r="O23" s="210">
        <f t="shared" si="7"/>
        <v>0</v>
      </c>
      <c r="P23" s="214"/>
      <c r="Q23" s="211">
        <f t="shared" si="8"/>
        <v>0</v>
      </c>
      <c r="R23" s="210">
        <f t="shared" si="9"/>
        <v>0</v>
      </c>
      <c r="S23" s="214"/>
      <c r="T23" s="211">
        <f t="shared" si="10"/>
        <v>0</v>
      </c>
      <c r="U23" s="210">
        <f t="shared" si="11"/>
        <v>0</v>
      </c>
      <c r="V23" s="214"/>
      <c r="W23" s="211">
        <f t="shared" si="12"/>
        <v>0</v>
      </c>
      <c r="X23" s="210">
        <f t="shared" si="13"/>
        <v>0</v>
      </c>
      <c r="Y23" s="214"/>
      <c r="Z23" s="211">
        <f t="shared" si="14"/>
        <v>0</v>
      </c>
      <c r="AA23" s="210">
        <f t="shared" si="15"/>
        <v>0</v>
      </c>
      <c r="AB23" s="214"/>
      <c r="AC23" s="211">
        <f t="shared" si="16"/>
        <v>0</v>
      </c>
      <c r="AD23" s="210">
        <f t="shared" si="17"/>
        <v>0</v>
      </c>
      <c r="AE23" s="214"/>
      <c r="AF23" s="211">
        <f t="shared" si="18"/>
        <v>0</v>
      </c>
      <c r="AG23" s="210">
        <f t="shared" si="19"/>
        <v>0</v>
      </c>
      <c r="AH23" s="214"/>
      <c r="AI23" s="211">
        <f t="shared" si="20"/>
        <v>0</v>
      </c>
      <c r="AJ23" s="210">
        <f t="shared" si="21"/>
        <v>0</v>
      </c>
      <c r="AK23" s="214"/>
      <c r="AL23" s="211">
        <f t="shared" si="22"/>
        <v>0</v>
      </c>
      <c r="AM23" s="210">
        <f t="shared" si="23"/>
        <v>0</v>
      </c>
      <c r="AN23" s="214"/>
      <c r="AO23" s="211">
        <f t="shared" si="24"/>
        <v>0</v>
      </c>
      <c r="AP23" s="210">
        <f t="shared" si="25"/>
        <v>0</v>
      </c>
      <c r="AQ23" s="214"/>
      <c r="AR23" s="211">
        <f t="shared" si="26"/>
        <v>0</v>
      </c>
      <c r="AS23" s="210">
        <f t="shared" si="27"/>
        <v>0</v>
      </c>
      <c r="AT23" s="214">
        <v>1</v>
      </c>
      <c r="AU23" s="211">
        <f t="shared" si="28"/>
        <v>168646</v>
      </c>
      <c r="AV23" s="210">
        <f t="shared" si="29"/>
        <v>1</v>
      </c>
      <c r="AW23" s="214"/>
      <c r="AX23" s="211">
        <f t="shared" si="30"/>
        <v>0</v>
      </c>
      <c r="AY23" s="429">
        <f t="shared" si="31"/>
        <v>1</v>
      </c>
      <c r="AZ23" s="214"/>
      <c r="BA23" s="211">
        <f t="shared" si="32"/>
        <v>0</v>
      </c>
      <c r="BB23" s="210">
        <f t="shared" si="33"/>
        <v>1</v>
      </c>
      <c r="BC23" s="214"/>
      <c r="BD23" s="211">
        <f t="shared" si="34"/>
        <v>0</v>
      </c>
      <c r="BE23" s="210">
        <f t="shared" si="35"/>
        <v>1</v>
      </c>
    </row>
    <row r="24" spans="1:57" ht="15" customHeight="1">
      <c r="A24" s="11">
        <v>12</v>
      </c>
      <c r="B24" s="206" t="str">
        <f>VLOOKUP(A24,'PLAN. ORÇAM.'!C28:K394,2)</f>
        <v xml:space="preserve">HIDRÁULICA </v>
      </c>
      <c r="C24" s="219">
        <f>VLOOKUP(A24,'PLAN. ORÇAM.'!C28:K394,9)</f>
        <v>129096.4</v>
      </c>
      <c r="D24" s="214"/>
      <c r="E24" s="211">
        <f t="shared" si="0"/>
        <v>0</v>
      </c>
      <c r="F24" s="210">
        <f t="shared" si="1"/>
        <v>0</v>
      </c>
      <c r="G24" s="214"/>
      <c r="H24" s="211">
        <f t="shared" si="2"/>
        <v>0</v>
      </c>
      <c r="I24" s="210">
        <f t="shared" si="3"/>
        <v>0</v>
      </c>
      <c r="J24" s="214"/>
      <c r="K24" s="211">
        <f t="shared" si="4"/>
        <v>0</v>
      </c>
      <c r="L24" s="210">
        <f t="shared" si="5"/>
        <v>0</v>
      </c>
      <c r="M24" s="214"/>
      <c r="N24" s="211">
        <f t="shared" si="6"/>
        <v>0</v>
      </c>
      <c r="O24" s="210">
        <f t="shared" si="7"/>
        <v>0</v>
      </c>
      <c r="P24" s="214"/>
      <c r="Q24" s="211">
        <f t="shared" si="8"/>
        <v>0</v>
      </c>
      <c r="R24" s="210">
        <f t="shared" si="9"/>
        <v>0</v>
      </c>
      <c r="S24" s="214"/>
      <c r="T24" s="211">
        <f t="shared" si="10"/>
        <v>0</v>
      </c>
      <c r="U24" s="210">
        <f t="shared" si="11"/>
        <v>0</v>
      </c>
      <c r="V24" s="214"/>
      <c r="W24" s="211">
        <f t="shared" si="12"/>
        <v>0</v>
      </c>
      <c r="X24" s="210">
        <f t="shared" si="13"/>
        <v>0</v>
      </c>
      <c r="Y24" s="214"/>
      <c r="Z24" s="211">
        <f t="shared" si="14"/>
        <v>0</v>
      </c>
      <c r="AA24" s="210">
        <f t="shared" si="15"/>
        <v>0</v>
      </c>
      <c r="AB24" s="214"/>
      <c r="AC24" s="211">
        <f t="shared" si="16"/>
        <v>0</v>
      </c>
      <c r="AD24" s="210">
        <f t="shared" si="17"/>
        <v>0</v>
      </c>
      <c r="AE24" s="214"/>
      <c r="AF24" s="211">
        <f t="shared" si="18"/>
        <v>0</v>
      </c>
      <c r="AG24" s="210">
        <f t="shared" si="19"/>
        <v>0</v>
      </c>
      <c r="AH24" s="214"/>
      <c r="AI24" s="211">
        <f t="shared" si="20"/>
        <v>0</v>
      </c>
      <c r="AJ24" s="210">
        <f t="shared" si="21"/>
        <v>0</v>
      </c>
      <c r="AK24" s="214">
        <v>0.5</v>
      </c>
      <c r="AL24" s="211">
        <f t="shared" si="22"/>
        <v>64548.2</v>
      </c>
      <c r="AM24" s="210">
        <f t="shared" si="23"/>
        <v>0.5</v>
      </c>
      <c r="AN24" s="214">
        <v>0.5</v>
      </c>
      <c r="AO24" s="211">
        <f t="shared" si="24"/>
        <v>64548.2</v>
      </c>
      <c r="AP24" s="210">
        <f t="shared" si="25"/>
        <v>1</v>
      </c>
      <c r="AQ24" s="214"/>
      <c r="AR24" s="211">
        <f t="shared" si="26"/>
        <v>0</v>
      </c>
      <c r="AS24" s="210">
        <f t="shared" si="27"/>
        <v>1</v>
      </c>
      <c r="AT24" s="214"/>
      <c r="AU24" s="211">
        <f t="shared" si="28"/>
        <v>0</v>
      </c>
      <c r="AV24" s="210">
        <f t="shared" si="29"/>
        <v>1</v>
      </c>
      <c r="AW24" s="214"/>
      <c r="AX24" s="211">
        <f t="shared" si="30"/>
        <v>0</v>
      </c>
      <c r="AY24" s="429">
        <f t="shared" si="31"/>
        <v>1</v>
      </c>
      <c r="AZ24" s="214"/>
      <c r="BA24" s="211">
        <f t="shared" si="32"/>
        <v>0</v>
      </c>
      <c r="BB24" s="210">
        <f t="shared" si="33"/>
        <v>1</v>
      </c>
      <c r="BC24" s="214"/>
      <c r="BD24" s="211">
        <f t="shared" si="34"/>
        <v>0</v>
      </c>
      <c r="BE24" s="210">
        <f t="shared" si="35"/>
        <v>1</v>
      </c>
    </row>
    <row r="25" spans="1:57" ht="15" customHeight="1">
      <c r="A25" s="10">
        <v>13</v>
      </c>
      <c r="B25" s="206" t="str">
        <f>VLOOKUP(A25,'PLAN. ORÇAM.'!C29:K395,2)</f>
        <v>INCÊNDIO</v>
      </c>
      <c r="C25" s="219">
        <f>VLOOKUP(A25,'PLAN. ORÇAM.'!C29:K395,9)</f>
        <v>63291.37</v>
      </c>
      <c r="D25" s="214"/>
      <c r="E25" s="211">
        <f t="shared" si="0"/>
        <v>0</v>
      </c>
      <c r="F25" s="210">
        <f t="shared" si="1"/>
        <v>0</v>
      </c>
      <c r="G25" s="214"/>
      <c r="H25" s="211">
        <f t="shared" si="2"/>
        <v>0</v>
      </c>
      <c r="I25" s="210">
        <f t="shared" si="3"/>
        <v>0</v>
      </c>
      <c r="J25" s="214"/>
      <c r="K25" s="211">
        <f t="shared" si="4"/>
        <v>0</v>
      </c>
      <c r="L25" s="210">
        <f t="shared" si="5"/>
        <v>0</v>
      </c>
      <c r="M25" s="214"/>
      <c r="N25" s="211">
        <f t="shared" si="6"/>
        <v>0</v>
      </c>
      <c r="O25" s="210">
        <f t="shared" si="7"/>
        <v>0</v>
      </c>
      <c r="P25" s="214"/>
      <c r="Q25" s="211">
        <f t="shared" si="8"/>
        <v>0</v>
      </c>
      <c r="R25" s="210">
        <f t="shared" si="9"/>
        <v>0</v>
      </c>
      <c r="S25" s="214"/>
      <c r="T25" s="211">
        <f t="shared" si="10"/>
        <v>0</v>
      </c>
      <c r="U25" s="210">
        <f t="shared" si="11"/>
        <v>0</v>
      </c>
      <c r="V25" s="214"/>
      <c r="W25" s="211">
        <f t="shared" si="12"/>
        <v>0</v>
      </c>
      <c r="X25" s="210">
        <f t="shared" si="13"/>
        <v>0</v>
      </c>
      <c r="Y25" s="214"/>
      <c r="Z25" s="211">
        <f t="shared" si="14"/>
        <v>0</v>
      </c>
      <c r="AA25" s="210">
        <f t="shared" si="15"/>
        <v>0</v>
      </c>
      <c r="AB25" s="214"/>
      <c r="AC25" s="211">
        <f t="shared" si="16"/>
        <v>0</v>
      </c>
      <c r="AD25" s="210">
        <f t="shared" si="17"/>
        <v>0</v>
      </c>
      <c r="AE25" s="214"/>
      <c r="AF25" s="211">
        <f t="shared" si="18"/>
        <v>0</v>
      </c>
      <c r="AG25" s="210">
        <f t="shared" si="19"/>
        <v>0</v>
      </c>
      <c r="AH25" s="214"/>
      <c r="AI25" s="211">
        <f t="shared" si="20"/>
        <v>0</v>
      </c>
      <c r="AJ25" s="210">
        <f t="shared" si="21"/>
        <v>0</v>
      </c>
      <c r="AK25" s="214">
        <v>0.6</v>
      </c>
      <c r="AL25" s="211">
        <f t="shared" si="22"/>
        <v>37974.82</v>
      </c>
      <c r="AM25" s="210">
        <f t="shared" si="23"/>
        <v>0.6</v>
      </c>
      <c r="AN25" s="214">
        <v>0.4</v>
      </c>
      <c r="AO25" s="211">
        <f t="shared" si="24"/>
        <v>25316.55</v>
      </c>
      <c r="AP25" s="210">
        <f t="shared" si="25"/>
        <v>1</v>
      </c>
      <c r="AQ25" s="214"/>
      <c r="AR25" s="211">
        <f t="shared" si="26"/>
        <v>0</v>
      </c>
      <c r="AS25" s="210">
        <f t="shared" si="27"/>
        <v>1</v>
      </c>
      <c r="AT25" s="214"/>
      <c r="AU25" s="211">
        <f t="shared" si="28"/>
        <v>0</v>
      </c>
      <c r="AV25" s="210">
        <f t="shared" si="29"/>
        <v>1</v>
      </c>
      <c r="AW25" s="214"/>
      <c r="AX25" s="211">
        <f t="shared" si="30"/>
        <v>0</v>
      </c>
      <c r="AY25" s="429">
        <f t="shared" si="31"/>
        <v>1</v>
      </c>
      <c r="AZ25" s="214"/>
      <c r="BA25" s="211">
        <f t="shared" si="32"/>
        <v>0</v>
      </c>
      <c r="BB25" s="210">
        <f t="shared" si="33"/>
        <v>1</v>
      </c>
      <c r="BC25" s="214"/>
      <c r="BD25" s="211">
        <f t="shared" si="34"/>
        <v>0</v>
      </c>
      <c r="BE25" s="210">
        <f t="shared" si="35"/>
        <v>1</v>
      </c>
    </row>
    <row r="26" spans="1:57" ht="15" customHeight="1">
      <c r="A26" s="11">
        <v>14</v>
      </c>
      <c r="B26" s="206" t="str">
        <f>VLOOKUP(A26,'PLAN. ORÇAM.'!C30:K396,2)</f>
        <v>GÁS</v>
      </c>
      <c r="C26" s="219">
        <f>VLOOKUP(A26,'PLAN. ORÇAM.'!C30:K396,9)</f>
        <v>14117.51</v>
      </c>
      <c r="D26" s="214"/>
      <c r="E26" s="211">
        <f t="shared" si="0"/>
        <v>0</v>
      </c>
      <c r="F26" s="210">
        <f t="shared" si="1"/>
        <v>0</v>
      </c>
      <c r="G26" s="214"/>
      <c r="H26" s="211">
        <f t="shared" si="2"/>
        <v>0</v>
      </c>
      <c r="I26" s="210">
        <f t="shared" si="3"/>
        <v>0</v>
      </c>
      <c r="J26" s="214"/>
      <c r="K26" s="211">
        <f t="shared" si="4"/>
        <v>0</v>
      </c>
      <c r="L26" s="210">
        <f t="shared" si="5"/>
        <v>0</v>
      </c>
      <c r="M26" s="214"/>
      <c r="N26" s="211">
        <f t="shared" si="6"/>
        <v>0</v>
      </c>
      <c r="O26" s="210">
        <f t="shared" si="7"/>
        <v>0</v>
      </c>
      <c r="P26" s="214"/>
      <c r="Q26" s="211">
        <f t="shared" si="8"/>
        <v>0</v>
      </c>
      <c r="R26" s="210">
        <f t="shared" si="9"/>
        <v>0</v>
      </c>
      <c r="S26" s="214"/>
      <c r="T26" s="211">
        <f t="shared" si="10"/>
        <v>0</v>
      </c>
      <c r="U26" s="210">
        <f t="shared" si="11"/>
        <v>0</v>
      </c>
      <c r="V26" s="214"/>
      <c r="W26" s="211">
        <f t="shared" si="12"/>
        <v>0</v>
      </c>
      <c r="X26" s="210">
        <f t="shared" si="13"/>
        <v>0</v>
      </c>
      <c r="Y26" s="214"/>
      <c r="Z26" s="211">
        <f t="shared" si="14"/>
        <v>0</v>
      </c>
      <c r="AA26" s="210">
        <f t="shared" si="15"/>
        <v>0</v>
      </c>
      <c r="AB26" s="214"/>
      <c r="AC26" s="211">
        <f t="shared" si="16"/>
        <v>0</v>
      </c>
      <c r="AD26" s="210">
        <f t="shared" si="17"/>
        <v>0</v>
      </c>
      <c r="AE26" s="214"/>
      <c r="AF26" s="211">
        <f t="shared" si="18"/>
        <v>0</v>
      </c>
      <c r="AG26" s="210">
        <f t="shared" si="19"/>
        <v>0</v>
      </c>
      <c r="AH26" s="214"/>
      <c r="AI26" s="211">
        <f t="shared" si="20"/>
        <v>0</v>
      </c>
      <c r="AJ26" s="210">
        <f t="shared" si="21"/>
        <v>0</v>
      </c>
      <c r="AK26" s="214"/>
      <c r="AL26" s="211">
        <f t="shared" si="22"/>
        <v>0</v>
      </c>
      <c r="AM26" s="210">
        <f t="shared" si="23"/>
        <v>0</v>
      </c>
      <c r="AN26" s="214"/>
      <c r="AO26" s="211">
        <f t="shared" si="24"/>
        <v>0</v>
      </c>
      <c r="AP26" s="210">
        <f t="shared" si="25"/>
        <v>0</v>
      </c>
      <c r="AQ26" s="214">
        <v>1</v>
      </c>
      <c r="AR26" s="211">
        <f t="shared" si="26"/>
        <v>14117.51</v>
      </c>
      <c r="AS26" s="210">
        <f t="shared" si="27"/>
        <v>1</v>
      </c>
      <c r="AT26" s="214"/>
      <c r="AU26" s="211">
        <f t="shared" si="28"/>
        <v>0</v>
      </c>
      <c r="AV26" s="210">
        <f t="shared" si="29"/>
        <v>1</v>
      </c>
      <c r="AW26" s="214"/>
      <c r="AX26" s="211">
        <f t="shared" si="30"/>
        <v>0</v>
      </c>
      <c r="AY26" s="429">
        <f t="shared" si="31"/>
        <v>1</v>
      </c>
      <c r="AZ26" s="214"/>
      <c r="BA26" s="211">
        <f t="shared" si="32"/>
        <v>0</v>
      </c>
      <c r="BB26" s="210">
        <f t="shared" si="33"/>
        <v>1</v>
      </c>
      <c r="BC26" s="214"/>
      <c r="BD26" s="211">
        <f t="shared" si="34"/>
        <v>0</v>
      </c>
      <c r="BE26" s="210">
        <f t="shared" si="35"/>
        <v>1</v>
      </c>
    </row>
    <row r="27" spans="1:57" ht="15" customHeight="1">
      <c r="A27" s="10">
        <v>15</v>
      </c>
      <c r="B27" s="206" t="str">
        <f>VLOOKUP(A27,'PLAN. ORÇAM.'!C31:K397,2)</f>
        <v>ELÉTRICO_LÓGICA_TELEFONE</v>
      </c>
      <c r="C27" s="219">
        <f>VLOOKUP(A27,'PLAN. ORÇAM.'!C31:K397,9)</f>
        <v>595936.67000000004</v>
      </c>
      <c r="D27" s="214"/>
      <c r="E27" s="211">
        <f t="shared" si="0"/>
        <v>0</v>
      </c>
      <c r="F27" s="210">
        <f t="shared" si="1"/>
        <v>0</v>
      </c>
      <c r="G27" s="214"/>
      <c r="H27" s="211">
        <f t="shared" si="2"/>
        <v>0</v>
      </c>
      <c r="I27" s="210">
        <f t="shared" si="3"/>
        <v>0</v>
      </c>
      <c r="J27" s="214"/>
      <c r="K27" s="211">
        <f t="shared" si="4"/>
        <v>0</v>
      </c>
      <c r="L27" s="210">
        <f t="shared" si="5"/>
        <v>0</v>
      </c>
      <c r="M27" s="214"/>
      <c r="N27" s="211">
        <f t="shared" si="6"/>
        <v>0</v>
      </c>
      <c r="O27" s="210">
        <f t="shared" si="7"/>
        <v>0</v>
      </c>
      <c r="P27" s="214"/>
      <c r="Q27" s="211">
        <f t="shared" si="8"/>
        <v>0</v>
      </c>
      <c r="R27" s="210">
        <f t="shared" si="9"/>
        <v>0</v>
      </c>
      <c r="S27" s="214"/>
      <c r="T27" s="211">
        <f t="shared" si="10"/>
        <v>0</v>
      </c>
      <c r="U27" s="210">
        <f t="shared" si="11"/>
        <v>0</v>
      </c>
      <c r="V27" s="214"/>
      <c r="W27" s="211">
        <f t="shared" si="12"/>
        <v>0</v>
      </c>
      <c r="X27" s="210">
        <f t="shared" si="13"/>
        <v>0</v>
      </c>
      <c r="Y27" s="214"/>
      <c r="Z27" s="211">
        <f t="shared" si="14"/>
        <v>0</v>
      </c>
      <c r="AA27" s="210">
        <f t="shared" si="15"/>
        <v>0</v>
      </c>
      <c r="AB27" s="214"/>
      <c r="AC27" s="211">
        <f t="shared" si="16"/>
        <v>0</v>
      </c>
      <c r="AD27" s="210">
        <f t="shared" si="17"/>
        <v>0</v>
      </c>
      <c r="AE27" s="214"/>
      <c r="AF27" s="211">
        <f t="shared" si="18"/>
        <v>0</v>
      </c>
      <c r="AG27" s="210">
        <f t="shared" si="19"/>
        <v>0</v>
      </c>
      <c r="AH27" s="214"/>
      <c r="AI27" s="211">
        <f t="shared" si="20"/>
        <v>0</v>
      </c>
      <c r="AJ27" s="210">
        <f t="shared" si="21"/>
        <v>0</v>
      </c>
      <c r="AK27" s="214"/>
      <c r="AL27" s="211">
        <f t="shared" si="22"/>
        <v>0</v>
      </c>
      <c r="AM27" s="210">
        <f t="shared" si="23"/>
        <v>0</v>
      </c>
      <c r="AN27" s="214"/>
      <c r="AO27" s="211">
        <f t="shared" si="24"/>
        <v>0</v>
      </c>
      <c r="AP27" s="210">
        <f t="shared" si="25"/>
        <v>0</v>
      </c>
      <c r="AQ27" s="214"/>
      <c r="AR27" s="211">
        <f t="shared" si="26"/>
        <v>0</v>
      </c>
      <c r="AS27" s="210">
        <f t="shared" si="27"/>
        <v>0</v>
      </c>
      <c r="AT27" s="214">
        <v>0.6</v>
      </c>
      <c r="AU27" s="211">
        <f t="shared" si="28"/>
        <v>357562</v>
      </c>
      <c r="AV27" s="210">
        <f t="shared" si="29"/>
        <v>0.6</v>
      </c>
      <c r="AW27" s="214">
        <v>0.4</v>
      </c>
      <c r="AX27" s="211">
        <f t="shared" si="30"/>
        <v>238374.67</v>
      </c>
      <c r="AY27" s="429">
        <f t="shared" si="31"/>
        <v>1</v>
      </c>
      <c r="AZ27" s="214"/>
      <c r="BA27" s="211">
        <f t="shared" si="32"/>
        <v>0</v>
      </c>
      <c r="BB27" s="210">
        <f t="shared" si="33"/>
        <v>1</v>
      </c>
      <c r="BC27" s="214"/>
      <c r="BD27" s="211">
        <f t="shared" si="34"/>
        <v>0</v>
      </c>
      <c r="BE27" s="210">
        <f t="shared" si="35"/>
        <v>1</v>
      </c>
    </row>
    <row r="28" spans="1:57" ht="16.5" customHeight="1">
      <c r="A28" s="11">
        <v>16</v>
      </c>
      <c r="B28" s="206" t="str">
        <f>VLOOKUP(A28,'PLAN. ORÇAM.'!C33:K398,2)</f>
        <v>PINTURAS</v>
      </c>
      <c r="C28" s="219">
        <f>VLOOKUP(A28,'PLAN. ORÇAM.'!C33:K398,9)</f>
        <v>317399.55</v>
      </c>
      <c r="D28" s="214"/>
      <c r="E28" s="211">
        <f t="shared" si="0"/>
        <v>0</v>
      </c>
      <c r="F28" s="210">
        <f t="shared" si="1"/>
        <v>0</v>
      </c>
      <c r="G28" s="214"/>
      <c r="H28" s="211">
        <f t="shared" si="2"/>
        <v>0</v>
      </c>
      <c r="I28" s="210">
        <f t="shared" si="3"/>
        <v>0</v>
      </c>
      <c r="J28" s="214"/>
      <c r="K28" s="211">
        <f t="shared" si="4"/>
        <v>0</v>
      </c>
      <c r="L28" s="210">
        <f t="shared" si="5"/>
        <v>0</v>
      </c>
      <c r="M28" s="214"/>
      <c r="N28" s="211">
        <f t="shared" si="6"/>
        <v>0</v>
      </c>
      <c r="O28" s="210">
        <f t="shared" si="7"/>
        <v>0</v>
      </c>
      <c r="P28" s="214"/>
      <c r="Q28" s="211">
        <f t="shared" si="8"/>
        <v>0</v>
      </c>
      <c r="R28" s="210">
        <f t="shared" si="9"/>
        <v>0</v>
      </c>
      <c r="S28" s="214"/>
      <c r="T28" s="211">
        <f t="shared" si="10"/>
        <v>0</v>
      </c>
      <c r="U28" s="210">
        <f t="shared" si="11"/>
        <v>0</v>
      </c>
      <c r="V28" s="214"/>
      <c r="W28" s="211">
        <f t="shared" si="12"/>
        <v>0</v>
      </c>
      <c r="X28" s="210">
        <f t="shared" si="13"/>
        <v>0</v>
      </c>
      <c r="Y28" s="214"/>
      <c r="Z28" s="211">
        <f t="shared" si="14"/>
        <v>0</v>
      </c>
      <c r="AA28" s="210">
        <f t="shared" si="15"/>
        <v>0</v>
      </c>
      <c r="AB28" s="214"/>
      <c r="AC28" s="211">
        <f t="shared" si="16"/>
        <v>0</v>
      </c>
      <c r="AD28" s="210">
        <f t="shared" si="17"/>
        <v>0</v>
      </c>
      <c r="AE28" s="214"/>
      <c r="AF28" s="211">
        <f t="shared" si="18"/>
        <v>0</v>
      </c>
      <c r="AG28" s="210">
        <f t="shared" si="19"/>
        <v>0</v>
      </c>
      <c r="AH28" s="214"/>
      <c r="AI28" s="211">
        <f t="shared" si="20"/>
        <v>0</v>
      </c>
      <c r="AJ28" s="210">
        <f t="shared" si="21"/>
        <v>0</v>
      </c>
      <c r="AK28" s="214"/>
      <c r="AL28" s="211">
        <f t="shared" si="22"/>
        <v>0</v>
      </c>
      <c r="AM28" s="210">
        <f t="shared" si="23"/>
        <v>0</v>
      </c>
      <c r="AN28" s="214"/>
      <c r="AO28" s="211">
        <f t="shared" si="24"/>
        <v>0</v>
      </c>
      <c r="AP28" s="210">
        <f t="shared" si="25"/>
        <v>0</v>
      </c>
      <c r="AQ28" s="214">
        <v>0.3</v>
      </c>
      <c r="AR28" s="211">
        <f t="shared" si="26"/>
        <v>95219.87</v>
      </c>
      <c r="AS28" s="210">
        <f t="shared" si="27"/>
        <v>0.3</v>
      </c>
      <c r="AT28" s="214">
        <v>0.5</v>
      </c>
      <c r="AU28" s="211">
        <f t="shared" si="28"/>
        <v>158699.78</v>
      </c>
      <c r="AV28" s="210">
        <f t="shared" si="29"/>
        <v>0.8</v>
      </c>
      <c r="AW28" s="214">
        <v>0.2</v>
      </c>
      <c r="AX28" s="211">
        <f t="shared" si="30"/>
        <v>63479.91</v>
      </c>
      <c r="AY28" s="429">
        <f t="shared" si="31"/>
        <v>1</v>
      </c>
      <c r="AZ28" s="214"/>
      <c r="BA28" s="211">
        <f t="shared" si="32"/>
        <v>0</v>
      </c>
      <c r="BB28" s="210">
        <f t="shared" si="33"/>
        <v>1</v>
      </c>
      <c r="BC28" s="214"/>
      <c r="BD28" s="211">
        <f t="shared" si="34"/>
        <v>0</v>
      </c>
      <c r="BE28" s="210">
        <f t="shared" si="35"/>
        <v>1</v>
      </c>
    </row>
    <row r="29" spans="1:57" ht="16.5" customHeight="1">
      <c r="A29" s="10">
        <v>17</v>
      </c>
      <c r="B29" s="206" t="str">
        <f>VLOOKUP(A29,'PLAN. ORÇAM.'!C34:K399,2)</f>
        <v>FORRO</v>
      </c>
      <c r="C29" s="219">
        <f>VLOOKUP(A29,'PLAN. ORÇAM.'!C34:K399,9)</f>
        <v>404671.28</v>
      </c>
      <c r="D29" s="214"/>
      <c r="E29" s="211">
        <f t="shared" si="0"/>
        <v>0</v>
      </c>
      <c r="F29" s="210">
        <f t="shared" si="1"/>
        <v>0</v>
      </c>
      <c r="G29" s="214"/>
      <c r="H29" s="211">
        <f t="shared" si="2"/>
        <v>0</v>
      </c>
      <c r="I29" s="210">
        <f t="shared" si="3"/>
        <v>0</v>
      </c>
      <c r="J29" s="214"/>
      <c r="K29" s="211">
        <f t="shared" si="4"/>
        <v>0</v>
      </c>
      <c r="L29" s="210">
        <f t="shared" si="5"/>
        <v>0</v>
      </c>
      <c r="M29" s="214"/>
      <c r="N29" s="211">
        <f t="shared" si="6"/>
        <v>0</v>
      </c>
      <c r="O29" s="210">
        <f t="shared" si="7"/>
        <v>0</v>
      </c>
      <c r="P29" s="214"/>
      <c r="Q29" s="211">
        <f t="shared" si="8"/>
        <v>0</v>
      </c>
      <c r="R29" s="210">
        <f t="shared" si="9"/>
        <v>0</v>
      </c>
      <c r="S29" s="214"/>
      <c r="T29" s="211">
        <f t="shared" si="10"/>
        <v>0</v>
      </c>
      <c r="U29" s="210">
        <f t="shared" si="11"/>
        <v>0</v>
      </c>
      <c r="V29" s="214"/>
      <c r="W29" s="211">
        <f t="shared" si="12"/>
        <v>0</v>
      </c>
      <c r="X29" s="210">
        <f t="shared" si="13"/>
        <v>0</v>
      </c>
      <c r="Y29" s="214"/>
      <c r="Z29" s="211">
        <f t="shared" si="14"/>
        <v>0</v>
      </c>
      <c r="AA29" s="210">
        <f t="shared" si="15"/>
        <v>0</v>
      </c>
      <c r="AB29" s="214"/>
      <c r="AC29" s="211">
        <f t="shared" si="16"/>
        <v>0</v>
      </c>
      <c r="AD29" s="210">
        <f t="shared" si="17"/>
        <v>0</v>
      </c>
      <c r="AE29" s="214"/>
      <c r="AF29" s="211">
        <f t="shared" si="18"/>
        <v>0</v>
      </c>
      <c r="AG29" s="210">
        <f t="shared" si="19"/>
        <v>0</v>
      </c>
      <c r="AH29" s="214"/>
      <c r="AI29" s="211">
        <f t="shared" si="20"/>
        <v>0</v>
      </c>
      <c r="AJ29" s="210">
        <f t="shared" si="21"/>
        <v>0</v>
      </c>
      <c r="AK29" s="214"/>
      <c r="AL29" s="211">
        <f t="shared" si="22"/>
        <v>0</v>
      </c>
      <c r="AM29" s="210">
        <f t="shared" si="23"/>
        <v>0</v>
      </c>
      <c r="AN29" s="214"/>
      <c r="AO29" s="211">
        <f t="shared" si="24"/>
        <v>0</v>
      </c>
      <c r="AP29" s="210">
        <f t="shared" si="25"/>
        <v>0</v>
      </c>
      <c r="AQ29" s="214"/>
      <c r="AR29" s="211">
        <f t="shared" si="26"/>
        <v>0</v>
      </c>
      <c r="AS29" s="210">
        <f t="shared" si="27"/>
        <v>0</v>
      </c>
      <c r="AT29" s="214">
        <v>0.5</v>
      </c>
      <c r="AU29" s="211">
        <f t="shared" si="28"/>
        <v>202335.64</v>
      </c>
      <c r="AV29" s="210">
        <f t="shared" si="29"/>
        <v>0.5</v>
      </c>
      <c r="AW29" s="214">
        <v>0.5</v>
      </c>
      <c r="AX29" s="211">
        <f t="shared" si="30"/>
        <v>202335.64</v>
      </c>
      <c r="AY29" s="429">
        <f t="shared" si="31"/>
        <v>1</v>
      </c>
      <c r="AZ29" s="214"/>
      <c r="BA29" s="211">
        <f t="shared" si="32"/>
        <v>0</v>
      </c>
      <c r="BB29" s="210">
        <f t="shared" si="33"/>
        <v>1</v>
      </c>
      <c r="BC29" s="214"/>
      <c r="BD29" s="211">
        <f t="shared" si="34"/>
        <v>0</v>
      </c>
      <c r="BE29" s="210">
        <f t="shared" si="35"/>
        <v>1</v>
      </c>
    </row>
    <row r="30" spans="1:57" ht="16.5" customHeight="1">
      <c r="A30" s="11">
        <v>18</v>
      </c>
      <c r="B30" s="206" t="str">
        <f>VLOOKUP(A30,'PLAN. ORÇAM.'!C35:K400,2)</f>
        <v xml:space="preserve">PEÇAS COMPLEMENTARES </v>
      </c>
      <c r="C30" s="219">
        <f>VLOOKUP(A30,'PLAN. ORÇAM.'!C35:K400,9)</f>
        <v>50883.03</v>
      </c>
      <c r="D30" s="214"/>
      <c r="E30" s="211">
        <f t="shared" si="0"/>
        <v>0</v>
      </c>
      <c r="F30" s="210">
        <f t="shared" si="1"/>
        <v>0</v>
      </c>
      <c r="G30" s="214"/>
      <c r="H30" s="211">
        <f t="shared" si="2"/>
        <v>0</v>
      </c>
      <c r="I30" s="210">
        <f t="shared" si="3"/>
        <v>0</v>
      </c>
      <c r="J30" s="214"/>
      <c r="K30" s="211">
        <f t="shared" si="4"/>
        <v>0</v>
      </c>
      <c r="L30" s="210">
        <f t="shared" si="5"/>
        <v>0</v>
      </c>
      <c r="M30" s="214"/>
      <c r="N30" s="211">
        <f t="shared" si="6"/>
        <v>0</v>
      </c>
      <c r="O30" s="210">
        <f t="shared" si="7"/>
        <v>0</v>
      </c>
      <c r="P30" s="214"/>
      <c r="Q30" s="211">
        <f t="shared" si="8"/>
        <v>0</v>
      </c>
      <c r="R30" s="210">
        <f t="shared" si="9"/>
        <v>0</v>
      </c>
      <c r="S30" s="214"/>
      <c r="T30" s="211">
        <f t="shared" si="10"/>
        <v>0</v>
      </c>
      <c r="U30" s="210">
        <f t="shared" si="11"/>
        <v>0</v>
      </c>
      <c r="V30" s="214"/>
      <c r="W30" s="211">
        <f t="shared" si="12"/>
        <v>0</v>
      </c>
      <c r="X30" s="210">
        <f t="shared" si="13"/>
        <v>0</v>
      </c>
      <c r="Y30" s="214"/>
      <c r="Z30" s="211">
        <f t="shared" si="14"/>
        <v>0</v>
      </c>
      <c r="AA30" s="210">
        <f t="shared" si="15"/>
        <v>0</v>
      </c>
      <c r="AB30" s="214"/>
      <c r="AC30" s="211">
        <f t="shared" si="16"/>
        <v>0</v>
      </c>
      <c r="AD30" s="210">
        <f t="shared" si="17"/>
        <v>0</v>
      </c>
      <c r="AE30" s="214"/>
      <c r="AF30" s="211">
        <f t="shared" si="18"/>
        <v>0</v>
      </c>
      <c r="AG30" s="210">
        <f t="shared" si="19"/>
        <v>0</v>
      </c>
      <c r="AH30" s="214"/>
      <c r="AI30" s="211">
        <f t="shared" si="20"/>
        <v>0</v>
      </c>
      <c r="AJ30" s="210">
        <f t="shared" si="21"/>
        <v>0</v>
      </c>
      <c r="AK30" s="214"/>
      <c r="AL30" s="211">
        <f t="shared" si="22"/>
        <v>0</v>
      </c>
      <c r="AM30" s="210">
        <f t="shared" si="23"/>
        <v>0</v>
      </c>
      <c r="AN30" s="214"/>
      <c r="AO30" s="211">
        <f t="shared" si="24"/>
        <v>0</v>
      </c>
      <c r="AP30" s="210">
        <f t="shared" si="25"/>
        <v>0</v>
      </c>
      <c r="AQ30" s="214"/>
      <c r="AR30" s="211">
        <f t="shared" si="26"/>
        <v>0</v>
      </c>
      <c r="AS30" s="210">
        <f t="shared" si="27"/>
        <v>0</v>
      </c>
      <c r="AT30" s="214">
        <v>0.5</v>
      </c>
      <c r="AU30" s="211">
        <f t="shared" si="28"/>
        <v>25441.52</v>
      </c>
      <c r="AV30" s="210">
        <f t="shared" si="29"/>
        <v>0.5</v>
      </c>
      <c r="AW30" s="214">
        <v>0.5</v>
      </c>
      <c r="AX30" s="211">
        <f t="shared" si="30"/>
        <v>25441.52</v>
      </c>
      <c r="AY30" s="429">
        <f t="shared" si="31"/>
        <v>1</v>
      </c>
      <c r="AZ30" s="214"/>
      <c r="BA30" s="211">
        <f t="shared" si="32"/>
        <v>0</v>
      </c>
      <c r="BB30" s="210">
        <f t="shared" si="33"/>
        <v>1</v>
      </c>
      <c r="BC30" s="214"/>
      <c r="BD30" s="211">
        <f t="shared" si="34"/>
        <v>0</v>
      </c>
      <c r="BE30" s="210">
        <f t="shared" si="35"/>
        <v>1</v>
      </c>
    </row>
    <row r="31" spans="1:57" ht="16.5" customHeight="1">
      <c r="A31" s="10">
        <v>19</v>
      </c>
      <c r="B31" s="206" t="str">
        <f>VLOOKUP(A31,'PLAN. ORÇAM.'!C37:K401,2)</f>
        <v>CALÇADA EXTERNA E GRAMA</v>
      </c>
      <c r="C31" s="219">
        <f>VLOOKUP(A31,'PLAN. ORÇAM.'!C37:K401,9)</f>
        <v>141848.85</v>
      </c>
      <c r="D31" s="214"/>
      <c r="E31" s="211">
        <f t="shared" si="0"/>
        <v>0</v>
      </c>
      <c r="F31" s="210">
        <f t="shared" si="1"/>
        <v>0</v>
      </c>
      <c r="G31" s="214"/>
      <c r="H31" s="211">
        <f t="shared" si="2"/>
        <v>0</v>
      </c>
      <c r="I31" s="210">
        <f t="shared" si="3"/>
        <v>0</v>
      </c>
      <c r="J31" s="214"/>
      <c r="K31" s="211">
        <f t="shared" si="4"/>
        <v>0</v>
      </c>
      <c r="L31" s="210">
        <f t="shared" si="5"/>
        <v>0</v>
      </c>
      <c r="M31" s="214"/>
      <c r="N31" s="211">
        <f t="shared" si="6"/>
        <v>0</v>
      </c>
      <c r="O31" s="210">
        <f t="shared" si="7"/>
        <v>0</v>
      </c>
      <c r="P31" s="214"/>
      <c r="Q31" s="211">
        <f t="shared" si="8"/>
        <v>0</v>
      </c>
      <c r="R31" s="210">
        <f t="shared" si="9"/>
        <v>0</v>
      </c>
      <c r="S31" s="214"/>
      <c r="T31" s="211">
        <f t="shared" si="10"/>
        <v>0</v>
      </c>
      <c r="U31" s="210">
        <f t="shared" si="11"/>
        <v>0</v>
      </c>
      <c r="V31" s="214"/>
      <c r="W31" s="211">
        <f t="shared" si="12"/>
        <v>0</v>
      </c>
      <c r="X31" s="210">
        <f t="shared" si="13"/>
        <v>0</v>
      </c>
      <c r="Y31" s="214"/>
      <c r="Z31" s="211">
        <f t="shared" si="14"/>
        <v>0</v>
      </c>
      <c r="AA31" s="210">
        <f t="shared" si="15"/>
        <v>0</v>
      </c>
      <c r="AB31" s="214"/>
      <c r="AC31" s="211">
        <f t="shared" si="16"/>
        <v>0</v>
      </c>
      <c r="AD31" s="210">
        <f t="shared" si="17"/>
        <v>0</v>
      </c>
      <c r="AE31" s="214"/>
      <c r="AF31" s="211">
        <f t="shared" si="18"/>
        <v>0</v>
      </c>
      <c r="AG31" s="210">
        <f t="shared" si="19"/>
        <v>0</v>
      </c>
      <c r="AH31" s="214"/>
      <c r="AI31" s="211">
        <f t="shared" si="20"/>
        <v>0</v>
      </c>
      <c r="AJ31" s="210">
        <f t="shared" si="21"/>
        <v>0</v>
      </c>
      <c r="AK31" s="214"/>
      <c r="AL31" s="211">
        <f t="shared" si="22"/>
        <v>0</v>
      </c>
      <c r="AM31" s="210">
        <f t="shared" si="23"/>
        <v>0</v>
      </c>
      <c r="AN31" s="214"/>
      <c r="AO31" s="211">
        <f t="shared" si="24"/>
        <v>0</v>
      </c>
      <c r="AP31" s="210">
        <f t="shared" si="25"/>
        <v>0</v>
      </c>
      <c r="AQ31" s="214"/>
      <c r="AR31" s="211">
        <f t="shared" si="26"/>
        <v>0</v>
      </c>
      <c r="AS31" s="210">
        <f t="shared" si="27"/>
        <v>0</v>
      </c>
      <c r="AT31" s="214">
        <v>0.2</v>
      </c>
      <c r="AU31" s="211">
        <f t="shared" si="28"/>
        <v>28369.77</v>
      </c>
      <c r="AV31" s="210">
        <f t="shared" si="29"/>
        <v>0.2</v>
      </c>
      <c r="AW31" s="214">
        <v>0.8</v>
      </c>
      <c r="AX31" s="211">
        <f t="shared" si="30"/>
        <v>113479.08</v>
      </c>
      <c r="AY31" s="429">
        <f t="shared" si="31"/>
        <v>1</v>
      </c>
      <c r="AZ31" s="214"/>
      <c r="BA31" s="211">
        <f t="shared" si="32"/>
        <v>0</v>
      </c>
      <c r="BB31" s="210">
        <f t="shared" si="33"/>
        <v>1</v>
      </c>
      <c r="BC31" s="214"/>
      <c r="BD31" s="211">
        <f t="shared" si="34"/>
        <v>0</v>
      </c>
      <c r="BE31" s="210">
        <f t="shared" si="35"/>
        <v>1</v>
      </c>
    </row>
    <row r="32" spans="1:57" ht="16.5" customHeight="1">
      <c r="A32" s="11">
        <v>20</v>
      </c>
      <c r="B32" s="206" t="str">
        <f>VLOOKUP(A32,'PLAN. ORÇAM.'!C38:K402,2)</f>
        <v xml:space="preserve"> FINALIZAÇÕES</v>
      </c>
      <c r="C32" s="219">
        <f>VLOOKUP(A32,'PLAN. ORÇAM.'!C38:K402,9)</f>
        <v>2531.5700000000002</v>
      </c>
      <c r="D32" s="214"/>
      <c r="E32" s="211">
        <f t="shared" si="0"/>
        <v>0</v>
      </c>
      <c r="F32" s="210">
        <f t="shared" si="1"/>
        <v>0</v>
      </c>
      <c r="G32" s="214"/>
      <c r="H32" s="211">
        <f t="shared" si="2"/>
        <v>0</v>
      </c>
      <c r="I32" s="210">
        <f t="shared" si="3"/>
        <v>0</v>
      </c>
      <c r="J32" s="214"/>
      <c r="K32" s="211">
        <f t="shared" si="4"/>
        <v>0</v>
      </c>
      <c r="L32" s="210">
        <f t="shared" si="5"/>
        <v>0</v>
      </c>
      <c r="M32" s="214"/>
      <c r="N32" s="211">
        <f t="shared" si="6"/>
        <v>0</v>
      </c>
      <c r="O32" s="210">
        <f t="shared" si="7"/>
        <v>0</v>
      </c>
      <c r="P32" s="214"/>
      <c r="Q32" s="211">
        <f t="shared" si="8"/>
        <v>0</v>
      </c>
      <c r="R32" s="210">
        <f t="shared" si="9"/>
        <v>0</v>
      </c>
      <c r="S32" s="214"/>
      <c r="T32" s="211">
        <f t="shared" si="10"/>
        <v>0</v>
      </c>
      <c r="U32" s="210">
        <f t="shared" si="11"/>
        <v>0</v>
      </c>
      <c r="V32" s="214"/>
      <c r="W32" s="211">
        <f t="shared" si="12"/>
        <v>0</v>
      </c>
      <c r="X32" s="210">
        <f t="shared" si="13"/>
        <v>0</v>
      </c>
      <c r="Y32" s="214"/>
      <c r="Z32" s="211">
        <f t="shared" si="14"/>
        <v>0</v>
      </c>
      <c r="AA32" s="210">
        <f t="shared" si="15"/>
        <v>0</v>
      </c>
      <c r="AB32" s="214"/>
      <c r="AC32" s="211">
        <f t="shared" si="16"/>
        <v>0</v>
      </c>
      <c r="AD32" s="210">
        <f t="shared" si="17"/>
        <v>0</v>
      </c>
      <c r="AE32" s="214"/>
      <c r="AF32" s="211">
        <f t="shared" si="18"/>
        <v>0</v>
      </c>
      <c r="AG32" s="210">
        <f t="shared" si="19"/>
        <v>0</v>
      </c>
      <c r="AH32" s="214"/>
      <c r="AI32" s="211">
        <f t="shared" si="20"/>
        <v>0</v>
      </c>
      <c r="AJ32" s="210">
        <f t="shared" si="21"/>
        <v>0</v>
      </c>
      <c r="AK32" s="214"/>
      <c r="AL32" s="211">
        <f t="shared" si="22"/>
        <v>0</v>
      </c>
      <c r="AM32" s="210">
        <f t="shared" si="23"/>
        <v>0</v>
      </c>
      <c r="AN32" s="214"/>
      <c r="AO32" s="211">
        <f t="shared" si="24"/>
        <v>0</v>
      </c>
      <c r="AP32" s="210">
        <f t="shared" si="25"/>
        <v>0</v>
      </c>
      <c r="AQ32" s="214"/>
      <c r="AR32" s="211">
        <f t="shared" si="26"/>
        <v>0</v>
      </c>
      <c r="AS32" s="210">
        <f t="shared" si="27"/>
        <v>0</v>
      </c>
      <c r="AT32" s="214"/>
      <c r="AU32" s="211">
        <f t="shared" si="28"/>
        <v>0</v>
      </c>
      <c r="AV32" s="210">
        <f t="shared" si="29"/>
        <v>0</v>
      </c>
      <c r="AW32" s="214">
        <v>1</v>
      </c>
      <c r="AX32" s="211">
        <f t="shared" si="30"/>
        <v>2531.5700000000002</v>
      </c>
      <c r="AY32" s="429">
        <f t="shared" si="31"/>
        <v>1</v>
      </c>
      <c r="AZ32" s="214"/>
      <c r="BA32" s="211">
        <f t="shared" si="32"/>
        <v>0</v>
      </c>
      <c r="BB32" s="210">
        <f t="shared" si="33"/>
        <v>1</v>
      </c>
      <c r="BC32" s="214"/>
      <c r="BD32" s="211">
        <f t="shared" si="34"/>
        <v>0</v>
      </c>
      <c r="BE32" s="210">
        <f t="shared" si="35"/>
        <v>1</v>
      </c>
    </row>
    <row r="33" spans="1:57" ht="15.75" customHeight="1">
      <c r="A33" s="10"/>
      <c r="B33" s="207"/>
      <c r="C33" s="199"/>
      <c r="D33" s="7"/>
      <c r="E33" s="199"/>
      <c r="F33" s="7"/>
      <c r="G33" s="7"/>
      <c r="H33" s="7"/>
      <c r="I33" s="212"/>
      <c r="J33" s="7"/>
      <c r="K33" s="199"/>
      <c r="L33" s="7"/>
      <c r="M33" s="7"/>
      <c r="N33" s="199"/>
      <c r="O33" s="7"/>
      <c r="P33" s="7"/>
      <c r="Q33" s="199"/>
      <c r="R33" s="7"/>
      <c r="S33" s="7"/>
      <c r="T33" s="199"/>
      <c r="U33" s="7"/>
      <c r="V33" s="7"/>
      <c r="W33" s="199"/>
      <c r="X33" s="7"/>
      <c r="Y33" s="7"/>
      <c r="Z33" s="199"/>
      <c r="AA33" s="7"/>
      <c r="AB33" s="7"/>
      <c r="AC33" s="199"/>
      <c r="AD33" s="7"/>
      <c r="AE33" s="7"/>
      <c r="AF33" s="199"/>
      <c r="AG33" s="7"/>
      <c r="AH33" s="7"/>
      <c r="AI33" s="199"/>
      <c r="AJ33" s="7"/>
      <c r="AK33" s="7"/>
      <c r="AL33" s="199"/>
      <c r="AM33" s="7"/>
      <c r="AN33" s="7"/>
      <c r="AO33" s="199"/>
      <c r="AP33" s="7"/>
      <c r="AQ33" s="7"/>
      <c r="AR33" s="199"/>
      <c r="AS33" s="7"/>
      <c r="AT33" s="7"/>
      <c r="AU33" s="199"/>
      <c r="AV33" s="7"/>
      <c r="AW33" s="7"/>
      <c r="AX33" s="199"/>
      <c r="AY33" s="7"/>
      <c r="AZ33" s="7"/>
      <c r="BA33" s="199"/>
      <c r="BB33" s="7"/>
      <c r="BC33" s="7"/>
      <c r="BD33" s="199"/>
      <c r="BE33" s="7"/>
    </row>
    <row r="34" spans="1:57">
      <c r="A34" s="458" t="s">
        <v>17</v>
      </c>
      <c r="B34" s="459"/>
      <c r="C34" s="16">
        <f>SUM(C13:C33)</f>
        <v>8850000</v>
      </c>
      <c r="D34" s="16"/>
      <c r="E34" s="16">
        <f>SUM(E13:E32)</f>
        <v>65563.33</v>
      </c>
      <c r="F34" s="201"/>
      <c r="G34" s="16"/>
      <c r="H34" s="16">
        <f>SUM(H13:H32)</f>
        <v>360191.2</v>
      </c>
      <c r="I34" s="201"/>
      <c r="J34" s="16"/>
      <c r="K34" s="16">
        <f>SUM(K13:K32)</f>
        <v>378659.6</v>
      </c>
      <c r="L34" s="201"/>
      <c r="M34" s="16"/>
      <c r="N34" s="16">
        <f>SUM(N13:N32)</f>
        <v>382426.11</v>
      </c>
      <c r="O34" s="201"/>
      <c r="P34" s="16"/>
      <c r="Q34" s="16">
        <f>SUM(Q13:Q32)</f>
        <v>408188.3</v>
      </c>
      <c r="R34" s="201"/>
      <c r="S34" s="16"/>
      <c r="T34" s="16">
        <f>SUM(T13:T32)</f>
        <v>363548.08</v>
      </c>
      <c r="U34" s="201"/>
      <c r="V34" s="16"/>
      <c r="W34" s="16">
        <f>SUM(W13:W32)</f>
        <v>437645.9</v>
      </c>
      <c r="X34" s="201"/>
      <c r="Y34" s="16"/>
      <c r="Z34" s="16">
        <f>SUM(Z13:Z32)</f>
        <v>591501.04</v>
      </c>
      <c r="AA34" s="201"/>
      <c r="AB34" s="16"/>
      <c r="AC34" s="16">
        <f>SUM(AC13:AC32)</f>
        <v>650610.51</v>
      </c>
      <c r="AD34" s="201"/>
      <c r="AE34" s="16"/>
      <c r="AF34" s="16">
        <f>SUM(AF13:AF32)</f>
        <v>910812.19</v>
      </c>
      <c r="AG34" s="201"/>
      <c r="AH34" s="16"/>
      <c r="AI34" s="16">
        <f>SUM(AI13:AI32)</f>
        <v>404260.86</v>
      </c>
      <c r="AJ34" s="201"/>
      <c r="AK34" s="16"/>
      <c r="AL34" s="16">
        <f>SUM(AL13:AL32)</f>
        <v>398136.92</v>
      </c>
      <c r="AM34" s="201"/>
      <c r="AN34" s="16"/>
      <c r="AO34" s="16">
        <f>SUM(AO13:AO32)</f>
        <v>788513.61</v>
      </c>
      <c r="AP34" s="201"/>
      <c r="AQ34" s="16"/>
      <c r="AR34" s="16">
        <f>SUM(AR13:AR32)</f>
        <v>669004.28</v>
      </c>
      <c r="AS34" s="201"/>
      <c r="AT34" s="16"/>
      <c r="AU34" s="16">
        <f>SUM(AU13:AU32)</f>
        <v>1373154.69</v>
      </c>
      <c r="AV34" s="201"/>
      <c r="AW34" s="16"/>
      <c r="AX34" s="16">
        <v>667783.38</v>
      </c>
      <c r="AY34" s="201"/>
      <c r="AZ34" s="16"/>
      <c r="BA34" s="16">
        <f>SUM(BA13:BA32)</f>
        <v>0</v>
      </c>
      <c r="BB34" s="201"/>
      <c r="BC34" s="16"/>
      <c r="BD34" s="16">
        <f>SUM(BD13:BD32)</f>
        <v>0</v>
      </c>
      <c r="BE34" s="201"/>
    </row>
    <row r="35" spans="1:57" ht="16.5" customHeight="1">
      <c r="A35" s="454" t="s">
        <v>18</v>
      </c>
      <c r="B35" s="455"/>
      <c r="C35" s="200"/>
      <c r="D35" s="2"/>
      <c r="E35" s="202">
        <f>E34/$C$34</f>
        <v>7.4000000000000003E-3</v>
      </c>
      <c r="F35" s="202"/>
      <c r="G35" s="202"/>
      <c r="H35" s="202">
        <f>H34/$C$34</f>
        <v>4.07E-2</v>
      </c>
      <c r="I35" s="202"/>
      <c r="J35" s="202"/>
      <c r="K35" s="202">
        <f>K34/$C$34</f>
        <v>4.2799999999999998E-2</v>
      </c>
      <c r="L35" s="202"/>
      <c r="M35" s="202"/>
      <c r="N35" s="202">
        <f>N34/$C$34</f>
        <v>4.3200000000000002E-2</v>
      </c>
      <c r="O35" s="202"/>
      <c r="P35" s="202"/>
      <c r="Q35" s="202">
        <f>Q34/$C$34</f>
        <v>4.6100000000000002E-2</v>
      </c>
      <c r="R35" s="202"/>
      <c r="S35" s="202"/>
      <c r="T35" s="202">
        <f>T34/$C$34</f>
        <v>4.1099999999999998E-2</v>
      </c>
      <c r="U35" s="202"/>
      <c r="V35" s="202"/>
      <c r="W35" s="202">
        <f>W34/$C$34</f>
        <v>4.9500000000000002E-2</v>
      </c>
      <c r="X35" s="202"/>
      <c r="Y35" s="202"/>
      <c r="Z35" s="202">
        <f>Z34/$C$34</f>
        <v>6.6799999999999998E-2</v>
      </c>
      <c r="AA35" s="202"/>
      <c r="AB35" s="202"/>
      <c r="AC35" s="202">
        <f>AC34/$C$34</f>
        <v>7.3499999999999996E-2</v>
      </c>
      <c r="AD35" s="202"/>
      <c r="AE35" s="202"/>
      <c r="AF35" s="202">
        <f>AF34/$C$34</f>
        <v>0.10290000000000001</v>
      </c>
      <c r="AG35" s="202"/>
      <c r="AH35" s="202"/>
      <c r="AI35" s="202">
        <f>AI34/$C$34</f>
        <v>4.5699999999999998E-2</v>
      </c>
      <c r="AJ35" s="202"/>
      <c r="AK35" s="202"/>
      <c r="AL35" s="202">
        <f>AL34/$C$34</f>
        <v>4.4999999999999998E-2</v>
      </c>
      <c r="AM35" s="202"/>
      <c r="AN35" s="202"/>
      <c r="AO35" s="202">
        <f>AO34/$C$34</f>
        <v>8.9099999999999999E-2</v>
      </c>
      <c r="AP35" s="202"/>
      <c r="AQ35" s="202"/>
      <c r="AR35" s="202">
        <f>AR34/$C$34</f>
        <v>7.5600000000000001E-2</v>
      </c>
      <c r="AS35" s="202"/>
      <c r="AT35" s="202"/>
      <c r="AU35" s="202">
        <f>AU34/$C$34</f>
        <v>0.1552</v>
      </c>
      <c r="AV35" s="202"/>
      <c r="AW35" s="202"/>
      <c r="AX35" s="202">
        <f>AX34/$C$34</f>
        <v>7.5499999999999998E-2</v>
      </c>
      <c r="AY35" s="202"/>
      <c r="AZ35" s="202"/>
      <c r="BA35" s="202">
        <f>BA34/$C$34</f>
        <v>0</v>
      </c>
      <c r="BB35" s="202"/>
      <c r="BC35" s="202"/>
      <c r="BD35" s="202">
        <f>BD34/$C$34</f>
        <v>0</v>
      </c>
      <c r="BE35" s="202"/>
    </row>
    <row r="36" spans="1:57" ht="16.5" customHeight="1">
      <c r="A36" s="456" t="s">
        <v>19</v>
      </c>
      <c r="B36" s="457"/>
      <c r="C36" s="14"/>
      <c r="D36" s="14">
        <f>D34</f>
        <v>0</v>
      </c>
      <c r="E36" s="14">
        <f>E34</f>
        <v>65563.33</v>
      </c>
      <c r="F36" s="15"/>
      <c r="G36" s="15">
        <f t="shared" ref="G36" si="36">F34/$C$34</f>
        <v>0</v>
      </c>
      <c r="H36" s="15">
        <f>H34+E36</f>
        <v>425754.53</v>
      </c>
      <c r="I36" s="15"/>
      <c r="J36" s="15">
        <f t="shared" ref="J36" si="37">I34/$C$34</f>
        <v>0</v>
      </c>
      <c r="K36" s="15">
        <f>K34+H36</f>
        <v>804414.13</v>
      </c>
      <c r="L36" s="15"/>
      <c r="M36" s="15">
        <f t="shared" ref="M36" si="38">L34/$C$34</f>
        <v>0</v>
      </c>
      <c r="N36" s="15">
        <f>N34+K36</f>
        <v>1186840.24</v>
      </c>
      <c r="O36" s="15"/>
      <c r="P36" s="15">
        <f t="shared" ref="P36" si="39">O34/$C$34</f>
        <v>0</v>
      </c>
      <c r="Q36" s="15">
        <f>Q34+N36</f>
        <v>1595028.54</v>
      </c>
      <c r="R36" s="15"/>
      <c r="S36" s="15">
        <f t="shared" ref="S36" si="40">R34/$C$34</f>
        <v>0</v>
      </c>
      <c r="T36" s="15">
        <f>T34+Q36</f>
        <v>1958576.62</v>
      </c>
      <c r="U36" s="15"/>
      <c r="V36" s="15">
        <f t="shared" ref="V36" si="41">U34/$C$34</f>
        <v>0</v>
      </c>
      <c r="W36" s="15">
        <f>W34+T36</f>
        <v>2396222.52</v>
      </c>
      <c r="X36" s="15"/>
      <c r="Y36" s="15">
        <f t="shared" ref="Y36" si="42">X34/$C$34</f>
        <v>0</v>
      </c>
      <c r="Z36" s="15">
        <f>Z34+W36</f>
        <v>2987723.56</v>
      </c>
      <c r="AA36" s="15"/>
      <c r="AB36" s="15">
        <f t="shared" ref="AB36" si="43">AA34/$C$34</f>
        <v>0</v>
      </c>
      <c r="AC36" s="15">
        <f>AC34+Z36</f>
        <v>3638334.07</v>
      </c>
      <c r="AD36" s="15"/>
      <c r="AE36" s="15">
        <f t="shared" ref="AE36" si="44">AD34/$C$34</f>
        <v>0</v>
      </c>
      <c r="AF36" s="15">
        <f>AF34+AC36</f>
        <v>4549146.26</v>
      </c>
      <c r="AG36" s="15"/>
      <c r="AH36" s="15">
        <f t="shared" ref="AH36" si="45">AG34/$C$34</f>
        <v>0</v>
      </c>
      <c r="AI36" s="15">
        <f>AI34+AF36</f>
        <v>4953407.12</v>
      </c>
      <c r="AJ36" s="15"/>
      <c r="AK36" s="15">
        <f t="shared" ref="AK36" si="46">AJ34/$C$34</f>
        <v>0</v>
      </c>
      <c r="AL36" s="15">
        <f>AL34+AI36</f>
        <v>5351544.04</v>
      </c>
      <c r="AM36" s="15"/>
      <c r="AN36" s="15">
        <f t="shared" ref="AN36" si="47">AM34/$C$34</f>
        <v>0</v>
      </c>
      <c r="AO36" s="15">
        <f>AO34+AL36</f>
        <v>6140057.6500000004</v>
      </c>
      <c r="AP36" s="15"/>
      <c r="AQ36" s="15">
        <f t="shared" ref="AQ36" si="48">AP34/$C$34</f>
        <v>0</v>
      </c>
      <c r="AR36" s="15">
        <f>AR34+AO36</f>
        <v>6809061.9299999997</v>
      </c>
      <c r="AS36" s="15"/>
      <c r="AT36" s="15">
        <f t="shared" ref="AT36" si="49">AS34/$C$34</f>
        <v>0</v>
      </c>
      <c r="AU36" s="15">
        <f>AU34+AR36</f>
        <v>8182216.6200000001</v>
      </c>
      <c r="AV36" s="15"/>
      <c r="AW36" s="15">
        <f t="shared" ref="AW36" si="50">AV34/$C$34</f>
        <v>0</v>
      </c>
      <c r="AX36" s="15">
        <f>AX34+AU36</f>
        <v>8850000</v>
      </c>
      <c r="AY36" s="15"/>
      <c r="AZ36" s="15">
        <f t="shared" ref="AZ36" si="51">AY34/$C$34</f>
        <v>0</v>
      </c>
      <c r="BA36" s="15">
        <f>BA34+AX36</f>
        <v>8850000</v>
      </c>
      <c r="BB36" s="15"/>
      <c r="BC36" s="15">
        <f t="shared" ref="BC36" si="52">BB34/$C$34</f>
        <v>0</v>
      </c>
      <c r="BD36" s="15">
        <f>BD34+BA36</f>
        <v>8850000</v>
      </c>
      <c r="BE36" s="15"/>
    </row>
    <row r="37" spans="1:57" ht="18.75" customHeight="1" thickBot="1">
      <c r="A37" s="460" t="s">
        <v>20</v>
      </c>
      <c r="B37" s="461"/>
      <c r="C37" s="220"/>
      <c r="D37" s="8"/>
      <c r="E37" s="202"/>
      <c r="F37" s="202"/>
      <c r="G37" s="202"/>
      <c r="H37" s="202">
        <f>H36/$C$34</f>
        <v>4.8099999999999997E-2</v>
      </c>
      <c r="I37" s="202"/>
      <c r="J37" s="202"/>
      <c r="K37" s="202">
        <f>K36/$C$34</f>
        <v>9.0899999999999995E-2</v>
      </c>
      <c r="L37" s="202"/>
      <c r="M37" s="202"/>
      <c r="N37" s="202">
        <f>N36/$C$34</f>
        <v>0.1341</v>
      </c>
      <c r="O37" s="202"/>
      <c r="P37" s="202"/>
      <c r="Q37" s="202">
        <f>Q36/$C$34</f>
        <v>0.1802</v>
      </c>
      <c r="R37" s="202"/>
      <c r="S37" s="202"/>
      <c r="T37" s="202">
        <f>T36/$C$34</f>
        <v>0.2213</v>
      </c>
      <c r="U37" s="202"/>
      <c r="V37" s="202"/>
      <c r="W37" s="202">
        <f>W36/$C$34</f>
        <v>0.27079999999999999</v>
      </c>
      <c r="X37" s="202"/>
      <c r="Y37" s="202"/>
      <c r="Z37" s="202">
        <f>Z36/$C$34</f>
        <v>0.33760000000000001</v>
      </c>
      <c r="AA37" s="202"/>
      <c r="AB37" s="202"/>
      <c r="AC37" s="202">
        <f>AC36/$C$34</f>
        <v>0.41110000000000002</v>
      </c>
      <c r="AD37" s="202"/>
      <c r="AE37" s="202"/>
      <c r="AF37" s="202">
        <f>AF36/$C$34</f>
        <v>0.51400000000000001</v>
      </c>
      <c r="AG37" s="202"/>
      <c r="AH37" s="202"/>
      <c r="AI37" s="202">
        <f>AI36/$C$34</f>
        <v>0.55969999999999998</v>
      </c>
      <c r="AJ37" s="202"/>
      <c r="AK37" s="202"/>
      <c r="AL37" s="202">
        <f>AL36/$C$34</f>
        <v>0.60470000000000002</v>
      </c>
      <c r="AM37" s="202"/>
      <c r="AN37" s="202"/>
      <c r="AO37" s="202">
        <f>AO36/$C$34</f>
        <v>0.69379999999999997</v>
      </c>
      <c r="AP37" s="202"/>
      <c r="AQ37" s="202"/>
      <c r="AR37" s="202">
        <f>AR36/$C$34</f>
        <v>0.76939999999999997</v>
      </c>
      <c r="AS37" s="202"/>
      <c r="AT37" s="202"/>
      <c r="AU37" s="202">
        <f>AU36/$C$34</f>
        <v>0.92449999999999999</v>
      </c>
      <c r="AV37" s="202"/>
      <c r="AW37" s="202"/>
      <c r="AX37" s="202">
        <f>AX36/$C$34</f>
        <v>1</v>
      </c>
      <c r="AY37" s="202"/>
      <c r="AZ37" s="202"/>
      <c r="BA37" s="202">
        <f>BA36/$C$34</f>
        <v>1</v>
      </c>
      <c r="BB37" s="202"/>
      <c r="BC37" s="202"/>
      <c r="BD37" s="202">
        <f>BD36/$C$34</f>
        <v>1</v>
      </c>
      <c r="BE37" s="202"/>
    </row>
    <row r="38" spans="1:57">
      <c r="A38" s="18"/>
      <c r="B38" s="18"/>
      <c r="C38" s="26"/>
      <c r="D38" s="12"/>
      <c r="E38" s="12"/>
      <c r="F38" s="12"/>
      <c r="G38" s="12"/>
      <c r="H38" s="12"/>
      <c r="I38" s="23"/>
    </row>
    <row r="39" spans="1:57">
      <c r="A39" s="18"/>
      <c r="B39" s="252" t="s">
        <v>1097</v>
      </c>
      <c r="C39" s="26"/>
      <c r="D39" s="12"/>
      <c r="E39" s="12"/>
      <c r="F39" s="12"/>
      <c r="G39" s="12"/>
      <c r="H39" s="12"/>
      <c r="I39" s="23"/>
    </row>
    <row r="40" spans="1:57">
      <c r="A40" s="18"/>
      <c r="B40" s="24" t="s">
        <v>25</v>
      </c>
      <c r="C40" s="26"/>
      <c r="D40" s="12"/>
      <c r="E40" s="12"/>
      <c r="F40" s="12"/>
      <c r="G40" s="24" t="s">
        <v>21</v>
      </c>
      <c r="H40" s="24"/>
      <c r="I40" s="23"/>
    </row>
    <row r="41" spans="1:57">
      <c r="A41" s="18"/>
      <c r="B41" s="18"/>
      <c r="C41" s="26"/>
      <c r="D41" s="18"/>
      <c r="E41" s="18"/>
      <c r="F41" s="18"/>
      <c r="G41" s="18"/>
      <c r="H41" s="18"/>
      <c r="I41" s="23"/>
    </row>
    <row r="42" spans="1:57">
      <c r="A42" s="23"/>
      <c r="B42" s="23"/>
      <c r="C42" s="103"/>
      <c r="D42" s="23"/>
      <c r="E42" s="23"/>
      <c r="F42" s="23"/>
      <c r="G42" s="23"/>
      <c r="H42" s="23"/>
      <c r="I42" s="23"/>
    </row>
  </sheetData>
  <mergeCells count="36">
    <mergeCell ref="AZ11:BB11"/>
    <mergeCell ref="BC11:BE11"/>
    <mergeCell ref="AK11:AM11"/>
    <mergeCell ref="AN11:AP11"/>
    <mergeCell ref="AQ11:AS11"/>
    <mergeCell ref="AT11:AV11"/>
    <mergeCell ref="AW11:AY11"/>
    <mergeCell ref="V11:X11"/>
    <mergeCell ref="Y11:AA11"/>
    <mergeCell ref="AB11:AD11"/>
    <mergeCell ref="AE11:AG11"/>
    <mergeCell ref="AH11:AJ11"/>
    <mergeCell ref="G11:I11"/>
    <mergeCell ref="J11:L11"/>
    <mergeCell ref="M11:O11"/>
    <mergeCell ref="P11:R11"/>
    <mergeCell ref="S11:U11"/>
    <mergeCell ref="A35:B35"/>
    <mergeCell ref="A36:B36"/>
    <mergeCell ref="A34:B34"/>
    <mergeCell ref="D8:E8"/>
    <mergeCell ref="A37:B37"/>
    <mergeCell ref="A10:A12"/>
    <mergeCell ref="B10:B12"/>
    <mergeCell ref="D11:F11"/>
    <mergeCell ref="A6:I6"/>
    <mergeCell ref="F7:I7"/>
    <mergeCell ref="F8:I8"/>
    <mergeCell ref="D10:I10"/>
    <mergeCell ref="B1:I1"/>
    <mergeCell ref="B2:I2"/>
    <mergeCell ref="B3:I3"/>
    <mergeCell ref="B4:I4"/>
    <mergeCell ref="B7:C7"/>
    <mergeCell ref="B8:C8"/>
    <mergeCell ref="D7:E7"/>
  </mergeCells>
  <phoneticPr fontId="5" type="noConversion"/>
  <pageMargins left="0.48" right="0.5" top="0.28999999999999998" bottom="0.53" header="0.16" footer="0.32"/>
  <pageSetup paperSize="9" scale="90" fitToHeight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9"/>
  <sheetViews>
    <sheetView workbookViewId="0">
      <selection activeCell="A12" sqref="A12"/>
    </sheetView>
  </sheetViews>
  <sheetFormatPr defaultRowHeight="12.75"/>
  <cols>
    <col min="2" max="2" width="27.28515625" customWidth="1"/>
    <col min="8" max="8" width="76.28515625" customWidth="1"/>
  </cols>
  <sheetData>
    <row r="3" spans="1:8">
      <c r="B3" s="23" t="s">
        <v>73</v>
      </c>
      <c r="H3">
        <v>72110</v>
      </c>
    </row>
    <row r="4" spans="1:8">
      <c r="A4">
        <v>72110</v>
      </c>
      <c r="B4" s="23" t="s">
        <v>74</v>
      </c>
      <c r="C4" s="23" t="s">
        <v>8</v>
      </c>
      <c r="D4">
        <v>75.680000000000007</v>
      </c>
      <c r="H4" t="s">
        <v>75</v>
      </c>
    </row>
    <row r="5" spans="1:8">
      <c r="A5">
        <v>94216</v>
      </c>
      <c r="B5" s="23" t="s">
        <v>80</v>
      </c>
      <c r="C5" s="23" t="s">
        <v>8</v>
      </c>
      <c r="D5">
        <v>93.12</v>
      </c>
      <c r="H5" t="s">
        <v>76</v>
      </c>
    </row>
    <row r="6" spans="1:8">
      <c r="H6" t="s">
        <v>77</v>
      </c>
    </row>
    <row r="7" spans="1:8">
      <c r="H7" t="s">
        <v>78</v>
      </c>
    </row>
    <row r="9" spans="1:8">
      <c r="H9" s="23" t="s">
        <v>79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203"/>
  <sheetViews>
    <sheetView topLeftCell="I92" zoomScaleNormal="100" workbookViewId="0">
      <selection activeCell="I72" sqref="I72"/>
    </sheetView>
  </sheetViews>
  <sheetFormatPr defaultRowHeight="12.75"/>
  <cols>
    <col min="2" max="2" width="5.28515625" customWidth="1"/>
    <col min="3" max="3" width="59.28515625" customWidth="1"/>
    <col min="4" max="4" width="13.7109375" customWidth="1"/>
    <col min="5" max="5" width="15.85546875" customWidth="1"/>
    <col min="6" max="6" width="17.42578125" customWidth="1"/>
    <col min="7" max="7" width="9.28515625" bestFit="1" customWidth="1"/>
    <col min="8" max="8" width="19.5703125" customWidth="1"/>
    <col min="9" max="9" width="14.5703125" customWidth="1"/>
    <col min="10" max="10" width="12.28515625" customWidth="1"/>
    <col min="11" max="11" width="7.28515625" customWidth="1"/>
  </cols>
  <sheetData>
    <row r="1" spans="2:11">
      <c r="G1" s="71" t="s">
        <v>84</v>
      </c>
    </row>
    <row r="3" spans="2:11">
      <c r="E3" s="3"/>
    </row>
    <row r="4" spans="2:11">
      <c r="C4" s="104" t="s">
        <v>73</v>
      </c>
    </row>
    <row r="5" spans="2:11">
      <c r="C5" t="s">
        <v>523</v>
      </c>
      <c r="E5" s="71"/>
    </row>
    <row r="7" spans="2:11">
      <c r="C7" s="23"/>
    </row>
    <row r="8" spans="2:11">
      <c r="C8" s="23"/>
    </row>
    <row r="9" spans="2:11">
      <c r="B9" s="79"/>
      <c r="C9" s="80" t="s">
        <v>402</v>
      </c>
      <c r="D9" s="81" t="s">
        <v>405</v>
      </c>
      <c r="E9" s="81" t="s">
        <v>406</v>
      </c>
      <c r="F9" s="81" t="s">
        <v>407</v>
      </c>
      <c r="G9" s="81" t="s">
        <v>408</v>
      </c>
      <c r="H9" s="81" t="s">
        <v>411</v>
      </c>
      <c r="I9" s="81" t="s">
        <v>412</v>
      </c>
      <c r="J9" s="81" t="s">
        <v>414</v>
      </c>
      <c r="K9" s="82" t="s">
        <v>416</v>
      </c>
    </row>
    <row r="10" spans="2:11">
      <c r="B10" s="40" t="s">
        <v>403</v>
      </c>
      <c r="C10" s="38" t="s">
        <v>404</v>
      </c>
      <c r="D10" s="74">
        <f>122+1.5</f>
        <v>123.5</v>
      </c>
      <c r="E10" s="74">
        <v>2.8</v>
      </c>
      <c r="F10" s="74">
        <v>2</v>
      </c>
      <c r="G10" s="74">
        <f>D10*E10*F10</f>
        <v>691.6</v>
      </c>
      <c r="H10" s="74"/>
      <c r="I10" s="74"/>
      <c r="J10" s="74"/>
      <c r="K10" s="83"/>
    </row>
    <row r="11" spans="2:11">
      <c r="B11" s="40" t="s">
        <v>403</v>
      </c>
      <c r="C11" s="38" t="s">
        <v>410</v>
      </c>
      <c r="D11" s="74">
        <f>D16</f>
        <v>123.5</v>
      </c>
      <c r="E11" s="74"/>
      <c r="F11" s="74"/>
      <c r="G11" s="74"/>
      <c r="H11" s="74"/>
      <c r="I11" s="74">
        <f>D11</f>
        <v>123.5</v>
      </c>
      <c r="J11" s="74"/>
      <c r="K11" s="83"/>
    </row>
    <row r="12" spans="2:11">
      <c r="B12" s="40" t="s">
        <v>403</v>
      </c>
      <c r="C12" s="38" t="s">
        <v>413</v>
      </c>
      <c r="D12" s="74">
        <v>122</v>
      </c>
      <c r="E12" s="74">
        <v>2.5</v>
      </c>
      <c r="F12" s="74">
        <v>2</v>
      </c>
      <c r="G12" s="74">
        <f>D12*E12*F12</f>
        <v>610</v>
      </c>
      <c r="H12" s="74"/>
      <c r="I12" s="74"/>
      <c r="J12" s="74"/>
      <c r="K12" s="83"/>
    </row>
    <row r="13" spans="2:11">
      <c r="B13" s="40" t="s">
        <v>403</v>
      </c>
      <c r="C13" s="38" t="s">
        <v>409</v>
      </c>
      <c r="D13" s="74">
        <f>D16</f>
        <v>123.5</v>
      </c>
      <c r="E13" s="74">
        <v>1</v>
      </c>
      <c r="F13" s="74">
        <v>2</v>
      </c>
      <c r="G13" s="74">
        <f>D13*E13*F13</f>
        <v>247</v>
      </c>
      <c r="H13" s="74">
        <f>G13</f>
        <v>247</v>
      </c>
      <c r="I13" s="74"/>
      <c r="J13" s="74"/>
      <c r="K13" s="83"/>
    </row>
    <row r="14" spans="2:11">
      <c r="B14" s="40" t="s">
        <v>403</v>
      </c>
      <c r="C14" s="75" t="s">
        <v>415</v>
      </c>
      <c r="D14" s="74">
        <v>122</v>
      </c>
      <c r="E14" s="74"/>
      <c r="F14" s="74">
        <v>2</v>
      </c>
      <c r="G14" s="74"/>
      <c r="H14" s="76"/>
      <c r="I14" s="74"/>
      <c r="J14" s="74">
        <f>F14*D14</f>
        <v>244</v>
      </c>
      <c r="K14" s="83"/>
    </row>
    <row r="15" spans="2:11">
      <c r="B15" s="40" t="s">
        <v>403</v>
      </c>
      <c r="C15" s="38" t="s">
        <v>416</v>
      </c>
      <c r="D15" s="74">
        <v>8</v>
      </c>
      <c r="E15" s="74"/>
      <c r="F15" s="74"/>
      <c r="G15" s="74"/>
      <c r="H15" s="74"/>
      <c r="I15" s="74"/>
      <c r="J15" s="74"/>
      <c r="K15" s="83">
        <f>D15</f>
        <v>8</v>
      </c>
    </row>
    <row r="16" spans="2:11">
      <c r="B16" s="40" t="s">
        <v>403</v>
      </c>
      <c r="C16" s="38" t="s">
        <v>417</v>
      </c>
      <c r="D16" s="74">
        <f>D10</f>
        <v>123.5</v>
      </c>
      <c r="E16" s="74">
        <v>8.8000000000000007</v>
      </c>
      <c r="F16" s="74">
        <v>2</v>
      </c>
      <c r="G16" s="74">
        <v>2130</v>
      </c>
      <c r="H16" s="74"/>
      <c r="I16" s="74"/>
      <c r="J16" s="74"/>
      <c r="K16" s="83"/>
    </row>
    <row r="17" spans="2:11">
      <c r="B17" s="40" t="s">
        <v>403</v>
      </c>
      <c r="C17" s="38" t="s">
        <v>420</v>
      </c>
      <c r="D17" s="74">
        <f>D16</f>
        <v>123.5</v>
      </c>
      <c r="E17" s="74">
        <v>0.4</v>
      </c>
      <c r="F17" s="74">
        <v>2</v>
      </c>
      <c r="G17" s="74">
        <f>F17*E17*D17</f>
        <v>98.8</v>
      </c>
      <c r="H17" s="74"/>
      <c r="I17" s="74"/>
      <c r="J17" s="74"/>
      <c r="K17" s="83"/>
    </row>
    <row r="18" spans="2:11">
      <c r="B18" s="40" t="s">
        <v>403</v>
      </c>
      <c r="C18" s="38" t="s">
        <v>421</v>
      </c>
      <c r="D18" s="74">
        <f>D17+21.5</f>
        <v>145</v>
      </c>
      <c r="E18" s="74">
        <v>0.6</v>
      </c>
      <c r="F18" s="74">
        <v>2</v>
      </c>
      <c r="G18" s="74">
        <f>F18*E18*D18</f>
        <v>174</v>
      </c>
      <c r="H18" s="74"/>
      <c r="I18" s="74"/>
      <c r="J18" s="74"/>
      <c r="K18" s="83"/>
    </row>
    <row r="19" spans="2:11">
      <c r="B19" s="40" t="s">
        <v>403</v>
      </c>
      <c r="C19" s="38" t="s">
        <v>422</v>
      </c>
      <c r="D19" s="74"/>
      <c r="E19" s="74"/>
      <c r="F19" s="74"/>
      <c r="G19" s="74">
        <f>39.6*2</f>
        <v>79.2</v>
      </c>
      <c r="H19" s="74"/>
      <c r="I19" s="74"/>
      <c r="J19" s="74"/>
      <c r="K19" s="83"/>
    </row>
    <row r="20" spans="2:11">
      <c r="B20" s="92" t="s">
        <v>403</v>
      </c>
      <c r="C20" s="77" t="s">
        <v>423</v>
      </c>
      <c r="D20" s="78"/>
      <c r="E20" s="78"/>
      <c r="F20" s="78"/>
      <c r="G20" s="78">
        <v>26.5</v>
      </c>
      <c r="H20" s="78"/>
      <c r="I20" s="78"/>
      <c r="J20" s="78"/>
      <c r="K20" s="93"/>
    </row>
    <row r="21" spans="2:11">
      <c r="B21" s="94"/>
      <c r="C21" s="98" t="s">
        <v>425</v>
      </c>
      <c r="D21" s="95"/>
      <c r="E21" s="95"/>
      <c r="F21" s="95"/>
      <c r="G21" s="96">
        <f>SUM(G10:G20)</f>
        <v>4057.1</v>
      </c>
      <c r="H21" s="96">
        <f t="shared" ref="H21:K21" si="0">SUM(H10:H20)</f>
        <v>247</v>
      </c>
      <c r="I21" s="96">
        <f t="shared" si="0"/>
        <v>123.5</v>
      </c>
      <c r="J21" s="96">
        <f t="shared" si="0"/>
        <v>244</v>
      </c>
      <c r="K21" s="97">
        <f t="shared" si="0"/>
        <v>8</v>
      </c>
    </row>
    <row r="22" spans="2:11">
      <c r="B22" s="87"/>
      <c r="C22" s="88"/>
      <c r="D22" s="89"/>
      <c r="E22" s="89"/>
      <c r="F22" s="89"/>
      <c r="G22" s="90"/>
      <c r="H22" s="90"/>
      <c r="I22" s="90"/>
      <c r="J22" s="90"/>
      <c r="K22" s="91"/>
    </row>
    <row r="23" spans="2:11">
      <c r="B23" s="79" t="s">
        <v>418</v>
      </c>
      <c r="C23" s="80" t="s">
        <v>402</v>
      </c>
      <c r="D23" s="81" t="s">
        <v>405</v>
      </c>
      <c r="E23" s="81" t="s">
        <v>406</v>
      </c>
      <c r="F23" s="81" t="s">
        <v>407</v>
      </c>
      <c r="G23" s="81" t="s">
        <v>408</v>
      </c>
      <c r="H23" s="81" t="s">
        <v>411</v>
      </c>
      <c r="I23" s="81" t="s">
        <v>412</v>
      </c>
      <c r="J23" s="81" t="s">
        <v>414</v>
      </c>
      <c r="K23" s="82" t="s">
        <v>416</v>
      </c>
    </row>
    <row r="24" spans="2:11">
      <c r="B24" s="40" t="s">
        <v>418</v>
      </c>
      <c r="C24" s="38" t="s">
        <v>404</v>
      </c>
      <c r="D24" s="74">
        <f>184.5+1.5</f>
        <v>186</v>
      </c>
      <c r="E24" s="74">
        <v>2.8</v>
      </c>
      <c r="F24" s="74">
        <v>2</v>
      </c>
      <c r="G24" s="74">
        <f>D24*E24*F24</f>
        <v>1041.5999999999999</v>
      </c>
      <c r="H24" s="74"/>
      <c r="I24" s="74"/>
      <c r="J24" s="74"/>
      <c r="K24" s="83"/>
    </row>
    <row r="25" spans="2:11">
      <c r="B25" s="40" t="s">
        <v>418</v>
      </c>
      <c r="C25" s="38" t="s">
        <v>410</v>
      </c>
      <c r="D25" s="74">
        <f>D30</f>
        <v>186</v>
      </c>
      <c r="E25" s="74"/>
      <c r="F25" s="74"/>
      <c r="G25" s="74"/>
      <c r="H25" s="74"/>
      <c r="I25" s="74">
        <f>D25</f>
        <v>186</v>
      </c>
      <c r="J25" s="74"/>
      <c r="K25" s="83"/>
    </row>
    <row r="26" spans="2:11">
      <c r="B26" s="40" t="s">
        <v>418</v>
      </c>
      <c r="C26" s="38" t="s">
        <v>413</v>
      </c>
      <c r="D26" s="74">
        <v>184.5</v>
      </c>
      <c r="E26" s="74">
        <v>2.5</v>
      </c>
      <c r="F26" s="74">
        <v>2</v>
      </c>
      <c r="G26" s="74">
        <f>D26*E26*F26</f>
        <v>922.5</v>
      </c>
      <c r="H26" s="74"/>
      <c r="I26" s="74"/>
      <c r="J26" s="74"/>
      <c r="K26" s="83"/>
    </row>
    <row r="27" spans="2:11">
      <c r="B27" s="40" t="s">
        <v>418</v>
      </c>
      <c r="C27" s="38" t="s">
        <v>409</v>
      </c>
      <c r="D27" s="74">
        <f>D30</f>
        <v>186</v>
      </c>
      <c r="E27" s="74">
        <v>1</v>
      </c>
      <c r="F27" s="74">
        <v>2</v>
      </c>
      <c r="G27" s="74">
        <f>D27*E27*F27</f>
        <v>372</v>
      </c>
      <c r="H27" s="74">
        <f>G27</f>
        <v>372</v>
      </c>
      <c r="I27" s="74"/>
      <c r="J27" s="74"/>
      <c r="K27" s="83"/>
    </row>
    <row r="28" spans="2:11">
      <c r="B28" s="40" t="s">
        <v>418</v>
      </c>
      <c r="C28" s="75" t="s">
        <v>415</v>
      </c>
      <c r="D28" s="74">
        <v>184.5</v>
      </c>
      <c r="E28" s="74"/>
      <c r="F28" s="74">
        <v>2</v>
      </c>
      <c r="G28" s="74"/>
      <c r="H28" s="76"/>
      <c r="I28" s="74"/>
      <c r="J28" s="74">
        <f>F28*D28</f>
        <v>369</v>
      </c>
      <c r="K28" s="83"/>
    </row>
    <row r="29" spans="2:11">
      <c r="B29" s="40" t="s">
        <v>418</v>
      </c>
      <c r="C29" s="38" t="s">
        <v>416</v>
      </c>
      <c r="D29" s="74">
        <v>6</v>
      </c>
      <c r="E29" s="74"/>
      <c r="F29" s="74"/>
      <c r="G29" s="74"/>
      <c r="H29" s="74"/>
      <c r="I29" s="74"/>
      <c r="J29" s="74"/>
      <c r="K29" s="83">
        <f>D29</f>
        <v>6</v>
      </c>
    </row>
    <row r="30" spans="2:11">
      <c r="B30" s="40" t="s">
        <v>418</v>
      </c>
      <c r="C30" s="38" t="s">
        <v>419</v>
      </c>
      <c r="D30" s="74">
        <f>D24</f>
        <v>186</v>
      </c>
      <c r="E30" s="74">
        <v>8.8000000000000007</v>
      </c>
      <c r="F30" s="74">
        <v>2</v>
      </c>
      <c r="G30" s="74">
        <f>3242</f>
        <v>3242</v>
      </c>
      <c r="H30" s="74"/>
      <c r="I30" s="74"/>
      <c r="J30" s="74"/>
      <c r="K30" s="83"/>
    </row>
    <row r="31" spans="2:11">
      <c r="B31" s="40" t="s">
        <v>418</v>
      </c>
      <c r="C31" s="38" t="s">
        <v>420</v>
      </c>
      <c r="D31" s="74">
        <f>D30</f>
        <v>186</v>
      </c>
      <c r="E31" s="74">
        <v>0.4</v>
      </c>
      <c r="F31" s="74">
        <v>2</v>
      </c>
      <c r="G31" s="74">
        <f>F31*E31*D31</f>
        <v>148.80000000000001</v>
      </c>
      <c r="H31" s="74"/>
      <c r="I31" s="74"/>
      <c r="J31" s="74"/>
      <c r="K31" s="83"/>
    </row>
    <row r="32" spans="2:11">
      <c r="B32" s="40" t="s">
        <v>418</v>
      </c>
      <c r="C32" s="38" t="s">
        <v>421</v>
      </c>
      <c r="D32" s="74">
        <f>D31+21.5</f>
        <v>207.5</v>
      </c>
      <c r="E32" s="74">
        <v>0.6</v>
      </c>
      <c r="F32" s="74">
        <v>2</v>
      </c>
      <c r="G32" s="74">
        <f>F32*E32*D32</f>
        <v>249</v>
      </c>
      <c r="H32" s="74"/>
      <c r="I32" s="74"/>
      <c r="J32" s="74"/>
      <c r="K32" s="83"/>
    </row>
    <row r="33" spans="2:11">
      <c r="B33" s="40" t="s">
        <v>418</v>
      </c>
      <c r="C33" s="38" t="s">
        <v>422</v>
      </c>
      <c r="D33" s="74"/>
      <c r="E33" s="74"/>
      <c r="F33" s="74"/>
      <c r="G33" s="74">
        <f>39.6*2</f>
        <v>79.2</v>
      </c>
      <c r="H33" s="74"/>
      <c r="I33" s="74"/>
      <c r="J33" s="74"/>
      <c r="K33" s="83"/>
    </row>
    <row r="34" spans="2:11">
      <c r="B34" s="84" t="s">
        <v>418</v>
      </c>
      <c r="C34" s="68" t="s">
        <v>424</v>
      </c>
      <c r="D34" s="85"/>
      <c r="E34" s="85"/>
      <c r="F34" s="85"/>
      <c r="G34" s="85">
        <v>39</v>
      </c>
      <c r="H34" s="85"/>
      <c r="I34" s="85"/>
      <c r="J34" s="85"/>
      <c r="K34" s="86"/>
    </row>
    <row r="35" spans="2:11">
      <c r="B35" s="94"/>
      <c r="C35" s="98" t="s">
        <v>425</v>
      </c>
      <c r="D35" s="95"/>
      <c r="E35" s="95"/>
      <c r="F35" s="95"/>
      <c r="G35" s="96">
        <f>SUM(G24:G34)</f>
        <v>6094.1</v>
      </c>
      <c r="H35" s="96">
        <f t="shared" ref="H35" si="1">SUM(H24:H34)</f>
        <v>372</v>
      </c>
      <c r="I35" s="96">
        <f t="shared" ref="I35" si="2">SUM(I24:I34)</f>
        <v>186</v>
      </c>
      <c r="J35" s="96">
        <f t="shared" ref="J35" si="3">SUM(J24:J34)</f>
        <v>369</v>
      </c>
      <c r="K35" s="97">
        <f t="shared" ref="K35" si="4">SUM(K24:K34)</f>
        <v>6</v>
      </c>
    </row>
    <row r="36" spans="2:11">
      <c r="C36" s="23"/>
      <c r="D36" s="73"/>
      <c r="E36" s="73"/>
      <c r="F36" s="73"/>
      <c r="G36" s="73"/>
      <c r="H36" s="73"/>
      <c r="I36" s="73"/>
      <c r="J36" s="73"/>
      <c r="K36" s="73"/>
    </row>
    <row r="37" spans="2:11">
      <c r="B37" s="99"/>
      <c r="C37" s="102" t="s">
        <v>426</v>
      </c>
      <c r="D37" s="100"/>
      <c r="E37" s="100"/>
      <c r="F37" s="100"/>
      <c r="G37" s="100">
        <f>G35+G21</f>
        <v>10151.200000000001</v>
      </c>
      <c r="H37" s="100">
        <f>H35+H21</f>
        <v>619</v>
      </c>
      <c r="I37" s="100">
        <f>I35+I21</f>
        <v>309.5</v>
      </c>
      <c r="J37" s="100">
        <f>J35+J21</f>
        <v>613</v>
      </c>
      <c r="K37" s="101">
        <f>K35+K21</f>
        <v>14</v>
      </c>
    </row>
    <row r="38" spans="2:11">
      <c r="B38" s="1"/>
      <c r="C38" s="150"/>
      <c r="D38" s="151"/>
      <c r="E38" s="151"/>
      <c r="F38" s="151"/>
      <c r="G38" s="151"/>
      <c r="H38" s="151"/>
      <c r="I38" s="151"/>
      <c r="J38" s="151"/>
      <c r="K38" s="151"/>
    </row>
    <row r="39" spans="2:11">
      <c r="B39" s="1"/>
      <c r="C39" s="152" t="s">
        <v>532</v>
      </c>
      <c r="D39" s="151"/>
      <c r="E39" s="151"/>
      <c r="F39" s="151"/>
      <c r="G39" s="151"/>
      <c r="H39" s="151"/>
      <c r="I39" s="151"/>
      <c r="J39" s="151"/>
      <c r="K39" s="151"/>
    </row>
    <row r="40" spans="2:11">
      <c r="B40" s="1"/>
      <c r="C40" s="153" t="s">
        <v>524</v>
      </c>
      <c r="D40" s="154" t="s">
        <v>526</v>
      </c>
      <c r="E40" s="154" t="s">
        <v>527</v>
      </c>
      <c r="F40" s="155" t="s">
        <v>525</v>
      </c>
      <c r="G40" s="151"/>
      <c r="H40" s="151"/>
      <c r="I40" s="151"/>
      <c r="J40" s="151"/>
      <c r="K40" s="151"/>
    </row>
    <row r="41" spans="2:11">
      <c r="B41" s="1"/>
      <c r="C41" s="156" t="s">
        <v>529</v>
      </c>
      <c r="D41" s="74">
        <v>123.5</v>
      </c>
      <c r="E41" s="74">
        <f>20+1.5</f>
        <v>21.5</v>
      </c>
      <c r="F41" s="83">
        <f>E41*D41</f>
        <v>2655.3</v>
      </c>
      <c r="G41" s="151"/>
      <c r="H41" s="151"/>
      <c r="I41" s="151"/>
      <c r="J41" s="151"/>
      <c r="K41" s="151"/>
    </row>
    <row r="42" spans="2:11">
      <c r="B42" s="1"/>
      <c r="C42" s="156" t="s">
        <v>531</v>
      </c>
      <c r="D42" s="74">
        <v>8</v>
      </c>
      <c r="E42" s="74">
        <v>6</v>
      </c>
      <c r="F42" s="83">
        <f>(-1)*E42*D42</f>
        <v>-48</v>
      </c>
      <c r="G42" s="151"/>
      <c r="H42" s="151"/>
      <c r="I42" s="151"/>
      <c r="J42" s="151"/>
      <c r="K42" s="151"/>
    </row>
    <row r="43" spans="2:11">
      <c r="B43" s="1"/>
      <c r="C43" s="156" t="s">
        <v>528</v>
      </c>
      <c r="D43" s="74">
        <f>185+1.5</f>
        <v>186.5</v>
      </c>
      <c r="E43" s="74">
        <f>E41</f>
        <v>21.5</v>
      </c>
      <c r="F43" s="83">
        <f>E43*D43</f>
        <v>4009.8</v>
      </c>
      <c r="G43" s="151"/>
      <c r="H43" s="151"/>
      <c r="I43" s="151"/>
      <c r="J43" s="151"/>
      <c r="K43" s="151"/>
    </row>
    <row r="44" spans="2:11">
      <c r="B44" s="1"/>
      <c r="C44" s="157" t="s">
        <v>531</v>
      </c>
      <c r="D44" s="78">
        <v>8</v>
      </c>
      <c r="E44" s="78">
        <v>4</v>
      </c>
      <c r="F44" s="93">
        <f>(-1)*E44*D44</f>
        <v>-32</v>
      </c>
      <c r="G44" s="151"/>
      <c r="H44" s="151"/>
      <c r="I44" s="151"/>
      <c r="J44" s="151"/>
      <c r="K44" s="151"/>
    </row>
    <row r="45" spans="2:11">
      <c r="B45" s="1"/>
      <c r="C45" s="158" t="s">
        <v>530</v>
      </c>
      <c r="D45" s="159"/>
      <c r="E45" s="159"/>
      <c r="F45" s="160">
        <f>SUM(F41:F44)</f>
        <v>6585.1</v>
      </c>
      <c r="G45" s="151"/>
      <c r="H45" s="151"/>
      <c r="I45" s="151"/>
      <c r="J45" s="151"/>
      <c r="K45" s="151"/>
    </row>
    <row r="47" spans="2:11">
      <c r="C47" s="23" t="s">
        <v>503</v>
      </c>
      <c r="D47" s="137" t="s">
        <v>510</v>
      </c>
      <c r="E47" s="138"/>
      <c r="F47" s="137" t="s">
        <v>520</v>
      </c>
      <c r="G47" s="28" t="s">
        <v>699</v>
      </c>
      <c r="H47" s="131" t="s">
        <v>518</v>
      </c>
      <c r="I47" s="132" t="s">
        <v>519</v>
      </c>
      <c r="J47" s="133" t="s">
        <v>499</v>
      </c>
    </row>
    <row r="48" spans="2:11">
      <c r="C48" s="23" t="s">
        <v>508</v>
      </c>
      <c r="D48" s="139"/>
      <c r="E48" s="140" t="s">
        <v>517</v>
      </c>
      <c r="F48" s="139"/>
      <c r="H48" s="134">
        <v>335244</v>
      </c>
      <c r="I48" s="135">
        <v>224480</v>
      </c>
      <c r="J48" s="136">
        <f>SUM(H48:I48)</f>
        <v>559724</v>
      </c>
    </row>
    <row r="49" spans="3:7" ht="15">
      <c r="C49" s="123" t="s">
        <v>506</v>
      </c>
      <c r="D49" s="139"/>
      <c r="E49" s="139"/>
      <c r="F49" s="139"/>
    </row>
    <row r="50" spans="3:7" ht="15">
      <c r="C50" s="124" t="s">
        <v>507</v>
      </c>
      <c r="D50" s="139"/>
      <c r="E50" s="139"/>
      <c r="F50" s="139"/>
    </row>
    <row r="51" spans="3:7" ht="15">
      <c r="C51" s="124" t="s">
        <v>504</v>
      </c>
      <c r="D51" s="139"/>
      <c r="E51" s="139"/>
      <c r="F51" s="139"/>
    </row>
    <row r="52" spans="3:7" ht="15">
      <c r="C52" s="124" t="s">
        <v>505</v>
      </c>
      <c r="D52" s="139"/>
      <c r="E52" s="139"/>
      <c r="F52" s="139"/>
    </row>
    <row r="53" spans="3:7">
      <c r="C53" s="126" t="s">
        <v>511</v>
      </c>
      <c r="D53" s="139"/>
      <c r="E53" s="141">
        <f>J48</f>
        <v>559724</v>
      </c>
      <c r="F53" s="139"/>
    </row>
    <row r="54" spans="3:7">
      <c r="C54" s="23"/>
      <c r="D54" s="139"/>
      <c r="E54" s="139"/>
      <c r="F54" s="139"/>
    </row>
    <row r="55" spans="3:7">
      <c r="C55" s="127" t="s">
        <v>509</v>
      </c>
      <c r="D55" s="139"/>
      <c r="E55" s="140" t="s">
        <v>516</v>
      </c>
      <c r="F55" s="139"/>
    </row>
    <row r="56" spans="3:7">
      <c r="C56" s="128" t="s">
        <v>512</v>
      </c>
      <c r="D56" s="139"/>
      <c r="E56" s="139"/>
      <c r="F56" s="139"/>
    </row>
    <row r="57" spans="3:7" ht="25.5">
      <c r="C57" s="129" t="s">
        <v>513</v>
      </c>
      <c r="D57" s="139"/>
      <c r="E57" s="139">
        <v>1185470</v>
      </c>
      <c r="F57" s="139"/>
    </row>
    <row r="58" spans="3:7">
      <c r="C58" s="130" t="s">
        <v>511</v>
      </c>
      <c r="D58" s="139"/>
      <c r="E58" s="139"/>
      <c r="F58" s="139"/>
    </row>
    <row r="59" spans="3:7">
      <c r="C59" s="23"/>
      <c r="D59" s="139"/>
      <c r="E59" s="139"/>
      <c r="F59" s="139"/>
    </row>
    <row r="60" spans="3:7">
      <c r="C60" s="125" t="s">
        <v>479</v>
      </c>
      <c r="D60" s="142">
        <v>2295000</v>
      </c>
      <c r="E60" s="143">
        <f>E57+E53</f>
        <v>1745194</v>
      </c>
      <c r="F60" s="82"/>
    </row>
    <row r="61" spans="3:7">
      <c r="C61" s="23" t="s">
        <v>515</v>
      </c>
      <c r="D61" s="144">
        <v>6197.4</v>
      </c>
      <c r="E61" s="145">
        <f>D61</f>
        <v>6197.4</v>
      </c>
      <c r="F61" s="42"/>
    </row>
    <row r="62" spans="3:7">
      <c r="C62" s="125" t="s">
        <v>514</v>
      </c>
      <c r="D62" s="146">
        <f>D60/D61</f>
        <v>370.32</v>
      </c>
      <c r="E62" s="147">
        <f>E60/E61</f>
        <v>281.60000000000002</v>
      </c>
      <c r="F62" s="45"/>
      <c r="G62">
        <v>200</v>
      </c>
    </row>
    <row r="63" spans="3:7">
      <c r="F63">
        <f>(E62+D62)/2</f>
        <v>325.95999999999998</v>
      </c>
      <c r="G63">
        <f>(D62+E62+G62)/3</f>
        <v>283.97333333333302</v>
      </c>
    </row>
    <row r="65" spans="2:22" ht="25.5">
      <c r="C65" s="149" t="s">
        <v>522</v>
      </c>
    </row>
    <row r="69" spans="2:22">
      <c r="C69" s="152" t="s">
        <v>534</v>
      </c>
      <c r="I69" s="328" t="s">
        <v>1061</v>
      </c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50"/>
    </row>
    <row r="70" spans="2:22">
      <c r="B70" s="79"/>
      <c r="C70" s="81" t="s">
        <v>535</v>
      </c>
      <c r="D70" s="81" t="s">
        <v>405</v>
      </c>
      <c r="E70" s="81" t="s">
        <v>406</v>
      </c>
      <c r="F70" s="81" t="s">
        <v>407</v>
      </c>
      <c r="G70" s="82" t="s">
        <v>408</v>
      </c>
      <c r="I70" s="329" t="s">
        <v>1001</v>
      </c>
      <c r="J70" s="1"/>
      <c r="K70" s="1"/>
      <c r="L70" s="1"/>
      <c r="M70" s="1" t="s">
        <v>1002</v>
      </c>
      <c r="N70" s="1"/>
      <c r="O70" s="317"/>
      <c r="P70" s="1"/>
      <c r="Q70" s="1"/>
      <c r="R70" s="1"/>
      <c r="S70" s="1"/>
      <c r="T70" s="1"/>
      <c r="U70" s="1"/>
      <c r="V70" s="52"/>
    </row>
    <row r="71" spans="2:22">
      <c r="B71" s="40" t="s">
        <v>403</v>
      </c>
      <c r="C71" s="41" t="s">
        <v>536</v>
      </c>
      <c r="D71" s="74">
        <v>123</v>
      </c>
      <c r="E71" s="74">
        <v>0.4</v>
      </c>
      <c r="F71" s="74">
        <v>2</v>
      </c>
      <c r="G71" s="83">
        <f>F71*E71*D71</f>
        <v>98.4</v>
      </c>
      <c r="I71" s="329">
        <v>184</v>
      </c>
      <c r="J71" s="1">
        <v>4</v>
      </c>
      <c r="K71" s="1">
        <f>J71*I71</f>
        <v>736</v>
      </c>
      <c r="L71" s="1"/>
      <c r="M71" s="1">
        <v>125</v>
      </c>
      <c r="N71" s="1"/>
      <c r="O71" s="317"/>
      <c r="P71" s="1"/>
      <c r="Q71" s="99" t="s">
        <v>1003</v>
      </c>
      <c r="R71" s="177"/>
      <c r="S71" s="177"/>
      <c r="T71" s="177"/>
      <c r="U71" s="177"/>
      <c r="V71" s="179"/>
    </row>
    <row r="72" spans="2:22">
      <c r="B72" s="40" t="s">
        <v>418</v>
      </c>
      <c r="C72" s="41" t="s">
        <v>537</v>
      </c>
      <c r="D72" s="74">
        <v>186</v>
      </c>
      <c r="E72" s="74">
        <v>0.4</v>
      </c>
      <c r="F72" s="74">
        <v>2</v>
      </c>
      <c r="G72" s="83">
        <f>F72*E72*D72</f>
        <v>148.80000000000001</v>
      </c>
      <c r="I72" s="329">
        <v>20</v>
      </c>
      <c r="J72" s="1">
        <v>7</v>
      </c>
      <c r="K72" s="1">
        <f t="shared" ref="K72:K79" si="5">J72*I72</f>
        <v>140</v>
      </c>
      <c r="L72" s="1"/>
      <c r="M72" s="1">
        <v>119</v>
      </c>
      <c r="N72" s="1"/>
      <c r="O72" s="317"/>
      <c r="P72" s="1"/>
      <c r="Q72" s="99" t="s">
        <v>1004</v>
      </c>
      <c r="R72" s="177"/>
      <c r="S72" s="177"/>
      <c r="T72" s="177"/>
      <c r="U72" s="177"/>
      <c r="V72" s="179"/>
    </row>
    <row r="73" spans="2:22">
      <c r="B73" s="40" t="s">
        <v>403</v>
      </c>
      <c r="C73" s="38" t="s">
        <v>539</v>
      </c>
      <c r="D73" s="74">
        <f>D72+21.5</f>
        <v>207.5</v>
      </c>
      <c r="E73" s="74">
        <v>0.6</v>
      </c>
      <c r="F73" s="74">
        <v>2</v>
      </c>
      <c r="G73" s="83">
        <f>F73*E73*D73</f>
        <v>249</v>
      </c>
      <c r="I73" s="329"/>
      <c r="J73" s="1"/>
      <c r="K73" s="1"/>
      <c r="L73" s="1"/>
      <c r="M73" s="1"/>
      <c r="N73" s="1"/>
      <c r="O73" s="317"/>
      <c r="P73" s="1"/>
      <c r="Q73" s="99" t="s">
        <v>1005</v>
      </c>
      <c r="R73" s="177"/>
      <c r="S73" s="177"/>
      <c r="T73" s="177"/>
      <c r="U73" s="177">
        <f>244*1.5</f>
        <v>366</v>
      </c>
      <c r="V73" s="179" t="s">
        <v>9</v>
      </c>
    </row>
    <row r="74" spans="2:22">
      <c r="B74" s="40" t="s">
        <v>418</v>
      </c>
      <c r="C74" s="38" t="s">
        <v>539</v>
      </c>
      <c r="D74" s="74">
        <f>D73+21.5</f>
        <v>229</v>
      </c>
      <c r="E74" s="74">
        <v>0.6</v>
      </c>
      <c r="F74" s="74">
        <v>2</v>
      </c>
      <c r="G74" s="83">
        <f>F74*E74*D74</f>
        <v>274.8</v>
      </c>
      <c r="I74" s="329"/>
      <c r="J74" s="1"/>
      <c r="K74" s="1"/>
      <c r="L74" s="1"/>
      <c r="M74" s="1"/>
      <c r="N74" s="1"/>
      <c r="O74" s="317"/>
      <c r="P74" s="1"/>
      <c r="Q74" s="79" t="s">
        <v>1006</v>
      </c>
      <c r="R74" s="81"/>
      <c r="S74" s="81"/>
      <c r="T74" s="81"/>
      <c r="U74" s="81"/>
      <c r="V74" s="82"/>
    </row>
    <row r="75" spans="2:22">
      <c r="B75" s="40" t="s">
        <v>403</v>
      </c>
      <c r="C75" s="38" t="s">
        <v>413</v>
      </c>
      <c r="D75" s="74">
        <v>122</v>
      </c>
      <c r="E75" s="74">
        <v>2.5</v>
      </c>
      <c r="F75" s="74">
        <v>2</v>
      </c>
      <c r="G75" s="83">
        <f>D75*E75*F75</f>
        <v>610</v>
      </c>
      <c r="I75" s="329">
        <v>20</v>
      </c>
      <c r="J75" s="1">
        <v>7</v>
      </c>
      <c r="K75" s="1">
        <f t="shared" si="5"/>
        <v>140</v>
      </c>
      <c r="L75" s="1"/>
      <c r="M75" s="1"/>
      <c r="N75" s="1">
        <f>SUM(M71:M75)</f>
        <v>244</v>
      </c>
      <c r="O75" s="317"/>
      <c r="P75" s="1"/>
      <c r="Q75" s="40" t="s">
        <v>380</v>
      </c>
      <c r="R75" s="41" t="s">
        <v>407</v>
      </c>
      <c r="S75" s="41" t="s">
        <v>1007</v>
      </c>
      <c r="T75" s="41" t="s">
        <v>379</v>
      </c>
      <c r="U75" s="41" t="s">
        <v>1008</v>
      </c>
      <c r="V75" s="42"/>
    </row>
    <row r="76" spans="2:22">
      <c r="B76" s="40" t="s">
        <v>418</v>
      </c>
      <c r="C76" s="38" t="s">
        <v>413</v>
      </c>
      <c r="D76" s="74">
        <v>184.5</v>
      </c>
      <c r="E76" s="74">
        <v>2.5</v>
      </c>
      <c r="F76" s="74">
        <v>2</v>
      </c>
      <c r="G76" s="83">
        <f>D76*E76*F76</f>
        <v>922.5</v>
      </c>
      <c r="I76" s="329">
        <v>9</v>
      </c>
      <c r="J76" s="1">
        <v>8</v>
      </c>
      <c r="K76" s="1">
        <f t="shared" si="5"/>
        <v>72</v>
      </c>
      <c r="L76" s="1"/>
      <c r="M76" s="1"/>
      <c r="N76" s="1"/>
      <c r="O76" s="317"/>
      <c r="P76" s="1"/>
      <c r="Q76" s="40">
        <v>244</v>
      </c>
      <c r="R76" s="41">
        <v>1</v>
      </c>
      <c r="S76" s="41">
        <v>1</v>
      </c>
      <c r="T76" s="41">
        <v>0.2</v>
      </c>
      <c r="U76" s="190">
        <f>Q76*R76*S76*T76</f>
        <v>48.8</v>
      </c>
      <c r="V76" s="42" t="s">
        <v>1009</v>
      </c>
    </row>
    <row r="77" spans="2:22">
      <c r="B77" s="40" t="s">
        <v>403</v>
      </c>
      <c r="C77" s="38" t="s">
        <v>540</v>
      </c>
      <c r="D77" s="78">
        <v>20</v>
      </c>
      <c r="E77" s="78">
        <v>2</v>
      </c>
      <c r="F77" s="78">
        <v>2</v>
      </c>
      <c r="G77" s="93">
        <f>D77*E77*F77</f>
        <v>80</v>
      </c>
      <c r="I77" s="329">
        <v>7</v>
      </c>
      <c r="J77" s="1">
        <v>8</v>
      </c>
      <c r="K77" s="1">
        <f t="shared" si="5"/>
        <v>56</v>
      </c>
      <c r="L77" s="1"/>
      <c r="M77" s="1"/>
      <c r="N77" s="1"/>
      <c r="O77" s="317"/>
      <c r="P77" s="1"/>
      <c r="Q77" s="40">
        <v>244</v>
      </c>
      <c r="R77" s="41">
        <v>1</v>
      </c>
      <c r="S77" s="41">
        <v>1</v>
      </c>
      <c r="T77" s="41">
        <v>0.2</v>
      </c>
      <c r="U77" s="190">
        <f>Q77*R77*S77*T77/3</f>
        <v>16.27</v>
      </c>
      <c r="V77" s="42" t="s">
        <v>1010</v>
      </c>
    </row>
    <row r="78" spans="2:22">
      <c r="B78" s="40" t="s">
        <v>418</v>
      </c>
      <c r="C78" s="38" t="s">
        <v>540</v>
      </c>
      <c r="D78" s="78">
        <v>20</v>
      </c>
      <c r="E78" s="78">
        <v>2</v>
      </c>
      <c r="F78" s="78">
        <v>2</v>
      </c>
      <c r="G78" s="93">
        <f>D78*E78*F78</f>
        <v>80</v>
      </c>
      <c r="I78" s="329">
        <v>8</v>
      </c>
      <c r="J78" s="1">
        <v>8</v>
      </c>
      <c r="K78" s="1">
        <f t="shared" si="5"/>
        <v>64</v>
      </c>
      <c r="L78" s="1"/>
      <c r="M78" s="1"/>
      <c r="N78" s="1"/>
      <c r="O78" s="317"/>
      <c r="P78" s="1"/>
      <c r="Q78" s="40"/>
      <c r="R78" s="41"/>
      <c r="S78" s="41" t="s">
        <v>1011</v>
      </c>
      <c r="T78" s="41"/>
      <c r="U78" s="145">
        <f>SUM(U76:U77)</f>
        <v>65.069999999999993</v>
      </c>
      <c r="V78" s="42" t="s">
        <v>1012</v>
      </c>
    </row>
    <row r="79" spans="2:22">
      <c r="B79" s="84"/>
      <c r="C79" s="44"/>
      <c r="D79" s="44"/>
      <c r="E79" s="44"/>
      <c r="F79" s="44"/>
      <c r="G79" s="161">
        <f>SUM(G71:G78)</f>
        <v>2463.5</v>
      </c>
      <c r="I79" s="329">
        <v>7</v>
      </c>
      <c r="J79" s="1">
        <v>8</v>
      </c>
      <c r="K79" s="1">
        <f t="shared" si="5"/>
        <v>56</v>
      </c>
      <c r="L79" s="1"/>
      <c r="M79" s="1"/>
      <c r="N79" s="1"/>
      <c r="O79" s="317"/>
      <c r="P79" s="1"/>
      <c r="Q79" s="40"/>
      <c r="R79" s="41"/>
      <c r="S79" s="41"/>
      <c r="T79" s="41"/>
      <c r="U79" s="41"/>
      <c r="V79" s="42"/>
    </row>
    <row r="80" spans="2:22">
      <c r="I80" s="329"/>
      <c r="J80" s="1"/>
      <c r="K80" s="1"/>
      <c r="L80" s="1">
        <f>SUM(K71:K79)</f>
        <v>1264</v>
      </c>
      <c r="M80" s="1"/>
      <c r="N80" s="1"/>
      <c r="O80" s="317"/>
      <c r="P80" s="1"/>
      <c r="Q80" s="40" t="s">
        <v>1013</v>
      </c>
      <c r="R80" s="41"/>
      <c r="S80" s="41"/>
      <c r="T80" s="41"/>
      <c r="U80" s="41"/>
      <c r="V80" s="42"/>
    </row>
    <row r="81" spans="2:22">
      <c r="B81" t="s">
        <v>538</v>
      </c>
      <c r="I81" s="329"/>
      <c r="J81" s="1"/>
      <c r="K81" s="1"/>
      <c r="L81" s="1"/>
      <c r="M81" s="1"/>
      <c r="N81" s="1"/>
      <c r="O81" s="317"/>
      <c r="P81" s="1"/>
      <c r="Q81" s="40" t="s">
        <v>380</v>
      </c>
      <c r="R81" s="41" t="s">
        <v>1014</v>
      </c>
      <c r="S81" s="41" t="s">
        <v>1015</v>
      </c>
      <c r="T81" s="41" t="s">
        <v>1016</v>
      </c>
      <c r="U81" s="41" t="s">
        <v>1017</v>
      </c>
      <c r="V81" s="42" t="s">
        <v>1018</v>
      </c>
    </row>
    <row r="82" spans="2:22">
      <c r="I82" s="329" t="s">
        <v>1019</v>
      </c>
      <c r="J82" s="1"/>
      <c r="K82" s="1"/>
      <c r="L82" s="1"/>
      <c r="M82" s="1" t="s">
        <v>1020</v>
      </c>
      <c r="N82" s="1"/>
      <c r="O82" s="317"/>
      <c r="P82" s="1"/>
      <c r="Q82" s="84">
        <f>14</f>
        <v>14</v>
      </c>
      <c r="R82" s="44" t="s">
        <v>1021</v>
      </c>
      <c r="S82" s="44">
        <v>1.2</v>
      </c>
      <c r="T82" s="44">
        <v>244</v>
      </c>
      <c r="U82" s="44">
        <f>T82*S82*Q82</f>
        <v>4099.2</v>
      </c>
      <c r="V82" s="311">
        <f>0.617*U82</f>
        <v>2529.21</v>
      </c>
    </row>
    <row r="83" spans="2:22">
      <c r="G83" s="162">
        <f>G79*35.15</f>
        <v>86592</v>
      </c>
      <c r="I83" s="329">
        <v>122</v>
      </c>
      <c r="J83" s="1">
        <v>4</v>
      </c>
      <c r="K83" s="1">
        <f>J83*I83</f>
        <v>488</v>
      </c>
      <c r="L83" s="1"/>
      <c r="M83" s="1"/>
      <c r="N83" s="1">
        <v>174</v>
      </c>
      <c r="O83" s="317"/>
      <c r="P83" s="1"/>
      <c r="Q83" s="1"/>
      <c r="R83" s="1"/>
      <c r="S83" s="1"/>
      <c r="T83" s="1"/>
      <c r="U83" s="1"/>
      <c r="V83" s="52"/>
    </row>
    <row r="84" spans="2:22">
      <c r="I84" s="329">
        <v>20</v>
      </c>
      <c r="J84" s="1">
        <v>8</v>
      </c>
      <c r="K84" s="1">
        <f t="shared" ref="K84:K86" si="6">J84*I84</f>
        <v>160</v>
      </c>
      <c r="L84" s="1"/>
      <c r="M84" s="1"/>
      <c r="N84" s="1"/>
      <c r="O84" s="317"/>
      <c r="P84" s="1"/>
      <c r="Q84" s="99" t="s">
        <v>1022</v>
      </c>
      <c r="R84" s="177"/>
      <c r="S84" s="177"/>
      <c r="T84" s="177"/>
      <c r="U84" s="177"/>
      <c r="V84" s="179"/>
    </row>
    <row r="85" spans="2:22">
      <c r="I85" s="329">
        <v>10</v>
      </c>
      <c r="J85" s="1">
        <v>8</v>
      </c>
      <c r="K85" s="1">
        <f t="shared" si="6"/>
        <v>80</v>
      </c>
      <c r="L85" s="1"/>
      <c r="M85" s="1"/>
      <c r="N85" s="1"/>
      <c r="O85" s="317"/>
      <c r="P85" s="1"/>
      <c r="Q85" s="99" t="s">
        <v>1004</v>
      </c>
      <c r="R85" s="177"/>
      <c r="S85" s="177"/>
      <c r="T85" s="177"/>
      <c r="U85" s="177"/>
      <c r="V85" s="179"/>
    </row>
    <row r="86" spans="2:22">
      <c r="I86" s="329">
        <v>9</v>
      </c>
      <c r="J86" s="1">
        <v>8</v>
      </c>
      <c r="K86" s="1">
        <f t="shared" si="6"/>
        <v>72</v>
      </c>
      <c r="L86" s="1"/>
      <c r="M86" s="1"/>
      <c r="N86" s="1"/>
      <c r="O86" s="317"/>
      <c r="P86" s="1"/>
      <c r="Q86" s="99" t="s">
        <v>1005</v>
      </c>
      <c r="R86" s="177"/>
      <c r="S86" s="177"/>
      <c r="T86" s="177"/>
      <c r="U86" s="177">
        <f>174*1.5</f>
        <v>261</v>
      </c>
      <c r="V86" s="179" t="s">
        <v>9</v>
      </c>
    </row>
    <row r="87" spans="2:22">
      <c r="I87" s="329"/>
      <c r="J87" s="1"/>
      <c r="K87" s="1"/>
      <c r="L87" s="1">
        <f>SUM(K83:K87)</f>
        <v>800</v>
      </c>
      <c r="M87" s="1"/>
      <c r="N87" s="1"/>
      <c r="O87" s="317"/>
      <c r="P87" s="1"/>
      <c r="Q87" s="79" t="s">
        <v>1006</v>
      </c>
      <c r="R87" s="81"/>
      <c r="S87" s="81"/>
      <c r="T87" s="81"/>
      <c r="U87" s="81"/>
      <c r="V87" s="82"/>
    </row>
    <row r="88" spans="2:22">
      <c r="I88" s="329"/>
      <c r="J88" s="1"/>
      <c r="K88" s="1"/>
      <c r="L88" s="1"/>
      <c r="M88" s="1"/>
      <c r="N88" s="1"/>
      <c r="O88" s="317"/>
      <c r="P88" s="1"/>
      <c r="Q88" s="40" t="s">
        <v>380</v>
      </c>
      <c r="R88" s="41" t="s">
        <v>407</v>
      </c>
      <c r="S88" s="41" t="s">
        <v>1007</v>
      </c>
      <c r="T88" s="41" t="s">
        <v>379</v>
      </c>
      <c r="U88" s="41" t="s">
        <v>1008</v>
      </c>
      <c r="V88" s="42"/>
    </row>
    <row r="89" spans="2:22">
      <c r="I89" s="329" t="s">
        <v>1023</v>
      </c>
      <c r="J89" s="1"/>
      <c r="K89" s="1"/>
      <c r="L89" s="1"/>
      <c r="M89" s="1" t="s">
        <v>1024</v>
      </c>
      <c r="N89" s="1"/>
      <c r="O89" s="317"/>
      <c r="P89" s="1"/>
      <c r="Q89" s="40">
        <v>174</v>
      </c>
      <c r="R89" s="41">
        <v>1</v>
      </c>
      <c r="S89" s="41">
        <v>1</v>
      </c>
      <c r="T89" s="41">
        <v>0.2</v>
      </c>
      <c r="U89" s="190">
        <f>Q89*R89*S89*T89</f>
        <v>34.799999999999997</v>
      </c>
      <c r="V89" s="42" t="s">
        <v>1009</v>
      </c>
    </row>
    <row r="90" spans="2:22">
      <c r="I90" s="329">
        <v>11</v>
      </c>
      <c r="J90" s="1">
        <v>20</v>
      </c>
      <c r="K90" s="1">
        <f t="shared" ref="K90:K93" si="7">J90*I90</f>
        <v>220</v>
      </c>
      <c r="L90" s="1"/>
      <c r="M90" s="1">
        <v>15</v>
      </c>
      <c r="N90" s="1">
        <v>20</v>
      </c>
      <c r="O90" s="317">
        <f>N90*M90</f>
        <v>300</v>
      </c>
      <c r="P90" s="1"/>
      <c r="Q90" s="40">
        <v>174</v>
      </c>
      <c r="R90" s="41">
        <v>1</v>
      </c>
      <c r="S90" s="41">
        <v>1</v>
      </c>
      <c r="T90" s="41">
        <v>0.2</v>
      </c>
      <c r="U90" s="190">
        <f>Q90*R90*S90*T90/3</f>
        <v>11.6</v>
      </c>
      <c r="V90" s="42" t="s">
        <v>1010</v>
      </c>
    </row>
    <row r="91" spans="2:22">
      <c r="I91" s="329">
        <v>8</v>
      </c>
      <c r="J91" s="1">
        <v>8</v>
      </c>
      <c r="K91" s="1">
        <f t="shared" si="7"/>
        <v>64</v>
      </c>
      <c r="L91" s="1"/>
      <c r="M91" s="1">
        <v>16</v>
      </c>
      <c r="N91" s="1">
        <v>8</v>
      </c>
      <c r="O91" s="317">
        <f t="shared" ref="O91:O93" si="8">N91*M91</f>
        <v>128</v>
      </c>
      <c r="P91" s="1"/>
      <c r="Q91" s="40"/>
      <c r="R91" s="41"/>
      <c r="S91" s="41" t="s">
        <v>1011</v>
      </c>
      <c r="T91" s="41"/>
      <c r="U91" s="145">
        <f>SUM(U89:U90)</f>
        <v>46.4</v>
      </c>
      <c r="V91" s="42" t="s">
        <v>1012</v>
      </c>
    </row>
    <row r="92" spans="2:22">
      <c r="I92" s="329">
        <v>7</v>
      </c>
      <c r="J92" s="1">
        <v>8</v>
      </c>
      <c r="K92" s="1">
        <f t="shared" si="7"/>
        <v>56</v>
      </c>
      <c r="L92" s="1"/>
      <c r="M92" s="1">
        <v>12</v>
      </c>
      <c r="N92" s="1">
        <v>8</v>
      </c>
      <c r="O92" s="317">
        <f t="shared" si="8"/>
        <v>96</v>
      </c>
      <c r="P92" s="1"/>
      <c r="Q92" s="40"/>
      <c r="R92" s="41"/>
      <c r="S92" s="41"/>
      <c r="T92" s="41"/>
      <c r="U92" s="41"/>
      <c r="V92" s="42"/>
    </row>
    <row r="93" spans="2:22">
      <c r="I93" s="329">
        <v>4</v>
      </c>
      <c r="J93" s="1">
        <v>122</v>
      </c>
      <c r="K93" s="1">
        <f t="shared" si="7"/>
        <v>488</v>
      </c>
      <c r="L93" s="1"/>
      <c r="M93" s="1">
        <v>4</v>
      </c>
      <c r="N93" s="1">
        <v>184</v>
      </c>
      <c r="O93" s="317">
        <f t="shared" si="8"/>
        <v>736</v>
      </c>
      <c r="P93" s="1"/>
      <c r="Q93" s="40" t="s">
        <v>1013</v>
      </c>
      <c r="R93" s="41"/>
      <c r="S93" s="41"/>
      <c r="T93" s="41"/>
      <c r="U93" s="41"/>
      <c r="V93" s="42"/>
    </row>
    <row r="94" spans="2:22">
      <c r="I94" s="329"/>
      <c r="J94" s="1"/>
      <c r="K94" s="1"/>
      <c r="L94" s="1">
        <f>SUM(K90:K93)</f>
        <v>828</v>
      </c>
      <c r="M94" s="1"/>
      <c r="N94" s="1"/>
      <c r="O94" s="317"/>
      <c r="P94" s="330">
        <f>SUM(O90:O93)</f>
        <v>1260</v>
      </c>
      <c r="Q94" s="40" t="s">
        <v>380</v>
      </c>
      <c r="R94" s="41" t="s">
        <v>1014</v>
      </c>
      <c r="S94" s="41" t="s">
        <v>1015</v>
      </c>
      <c r="T94" s="41" t="s">
        <v>1016</v>
      </c>
      <c r="U94" s="41" t="s">
        <v>1017</v>
      </c>
      <c r="V94" s="42" t="s">
        <v>1018</v>
      </c>
    </row>
    <row r="95" spans="2:22">
      <c r="I95" s="329"/>
      <c r="J95" s="1"/>
      <c r="K95" s="1"/>
      <c r="L95" s="1"/>
      <c r="M95" s="1"/>
      <c r="N95" s="1"/>
      <c r="O95" s="317"/>
      <c r="P95" s="1"/>
      <c r="Q95" s="84">
        <f>14</f>
        <v>14</v>
      </c>
      <c r="R95" s="44" t="s">
        <v>1021</v>
      </c>
      <c r="S95" s="44">
        <v>1.2</v>
      </c>
      <c r="T95" s="44">
        <v>174</v>
      </c>
      <c r="U95" s="44">
        <f>T95*S95*Q95</f>
        <v>2923.2</v>
      </c>
      <c r="V95" s="311">
        <f>0.617*U95</f>
        <v>1803.61</v>
      </c>
    </row>
    <row r="96" spans="2:22">
      <c r="I96" s="329"/>
      <c r="J96" s="1"/>
      <c r="K96" s="1"/>
      <c r="L96" s="1"/>
      <c r="M96" s="1"/>
      <c r="N96" s="1"/>
      <c r="O96" s="317"/>
      <c r="P96" s="1"/>
      <c r="Q96" s="1"/>
      <c r="R96" s="1"/>
      <c r="S96" s="1"/>
      <c r="T96" s="1"/>
      <c r="U96" s="1"/>
      <c r="V96" s="52"/>
    </row>
    <row r="97" spans="7:22">
      <c r="I97" s="329" t="s">
        <v>1025</v>
      </c>
      <c r="J97" s="1"/>
      <c r="K97" s="1"/>
      <c r="L97" s="1"/>
      <c r="M97" s="1" t="s">
        <v>1026</v>
      </c>
      <c r="N97" s="1"/>
      <c r="O97" s="317"/>
      <c r="P97" s="1"/>
      <c r="Q97" s="1"/>
      <c r="R97" s="1"/>
      <c r="S97" s="1"/>
      <c r="T97" s="1"/>
      <c r="U97" s="1"/>
      <c r="V97" s="52"/>
    </row>
    <row r="98" spans="7:22">
      <c r="I98" s="329">
        <v>2</v>
      </c>
      <c r="J98" s="1">
        <v>122</v>
      </c>
      <c r="K98" s="1">
        <f>J98*I98</f>
        <v>244</v>
      </c>
      <c r="L98" s="1"/>
      <c r="M98" s="1">
        <v>2</v>
      </c>
      <c r="N98" s="1">
        <v>184</v>
      </c>
      <c r="O98" s="317">
        <f>N98*M98</f>
        <v>368</v>
      </c>
      <c r="P98" s="1"/>
      <c r="Q98" s="1"/>
      <c r="R98" s="1"/>
      <c r="S98" s="1"/>
      <c r="T98" s="1"/>
      <c r="U98" s="1"/>
      <c r="V98" s="52"/>
    </row>
    <row r="99" spans="7:22">
      <c r="I99" s="329">
        <v>12</v>
      </c>
      <c r="J99" s="1">
        <v>4</v>
      </c>
      <c r="K99" s="1">
        <f>J99*I99</f>
        <v>48</v>
      </c>
      <c r="L99" s="1"/>
      <c r="M99" s="1">
        <v>18</v>
      </c>
      <c r="N99" s="1">
        <v>4</v>
      </c>
      <c r="O99" s="317">
        <f>N99*M99</f>
        <v>72</v>
      </c>
      <c r="P99" s="1"/>
      <c r="Q99" s="1"/>
      <c r="R99" s="1"/>
      <c r="S99" s="1"/>
      <c r="T99" s="1"/>
      <c r="U99" s="1"/>
      <c r="V99" s="52"/>
    </row>
    <row r="100" spans="7:22">
      <c r="I100" s="329"/>
      <c r="J100" s="1"/>
      <c r="K100" s="1"/>
      <c r="L100" s="1">
        <f>SUM(K98:K99)</f>
        <v>292</v>
      </c>
      <c r="M100" s="1"/>
      <c r="N100" s="1"/>
      <c r="O100" s="317"/>
      <c r="P100" s="330">
        <f>SUM(O98:O100)</f>
        <v>440</v>
      </c>
      <c r="Q100" s="1"/>
      <c r="R100" s="1"/>
      <c r="S100" s="1"/>
      <c r="T100" s="1"/>
      <c r="U100" s="1"/>
      <c r="V100" s="52"/>
    </row>
    <row r="101" spans="7:22">
      <c r="I101" s="329"/>
      <c r="J101" s="1"/>
      <c r="K101" s="1"/>
      <c r="L101" s="1"/>
      <c r="M101" s="1"/>
      <c r="N101" s="1"/>
      <c r="O101" s="317"/>
      <c r="P101" s="1"/>
      <c r="Q101" s="1"/>
      <c r="R101" s="1"/>
      <c r="S101" s="1"/>
      <c r="T101" s="1"/>
      <c r="U101" s="1"/>
      <c r="V101" s="52"/>
    </row>
    <row r="102" spans="7:22">
      <c r="I102" s="329"/>
      <c r="J102" s="1"/>
      <c r="K102" s="1"/>
      <c r="L102" s="1"/>
      <c r="M102" s="1"/>
      <c r="N102" s="1"/>
      <c r="O102" s="317"/>
      <c r="P102" s="1"/>
      <c r="Q102" s="1"/>
      <c r="R102" s="1"/>
      <c r="S102" s="1"/>
      <c r="T102" s="1"/>
      <c r="U102" s="1"/>
      <c r="V102" s="52"/>
    </row>
    <row r="103" spans="7:22">
      <c r="I103" s="79" t="s">
        <v>1027</v>
      </c>
      <c r="J103" s="81"/>
      <c r="K103" s="81"/>
      <c r="L103" s="81"/>
      <c r="M103" s="81"/>
      <c r="N103" s="81"/>
      <c r="O103" s="312"/>
      <c r="P103" s="82"/>
      <c r="Q103" s="1"/>
      <c r="R103" s="1"/>
      <c r="S103" s="1"/>
      <c r="T103" s="1"/>
      <c r="U103" s="1"/>
      <c r="V103" s="52"/>
    </row>
    <row r="104" spans="7:22">
      <c r="I104" s="40" t="s">
        <v>1028</v>
      </c>
      <c r="J104" s="41"/>
      <c r="K104" s="41"/>
      <c r="L104" s="41" t="s">
        <v>315</v>
      </c>
      <c r="M104" s="41" t="s">
        <v>378</v>
      </c>
      <c r="N104" s="41" t="s">
        <v>379</v>
      </c>
      <c r="O104" s="190" t="s">
        <v>1029</v>
      </c>
      <c r="P104" s="42"/>
      <c r="Q104" s="1"/>
      <c r="R104" s="1"/>
      <c r="S104" s="1"/>
      <c r="T104" s="1"/>
      <c r="U104" s="1"/>
      <c r="V104" s="52"/>
    </row>
    <row r="105" spans="7:22">
      <c r="I105" s="40" t="s">
        <v>1030</v>
      </c>
      <c r="J105" s="41"/>
      <c r="K105" s="41"/>
      <c r="L105" s="190">
        <v>1264</v>
      </c>
      <c r="M105" s="190">
        <v>15</v>
      </c>
      <c r="N105" s="190">
        <v>30</v>
      </c>
      <c r="O105" s="190">
        <f>L105*M105*N105/10000</f>
        <v>56.88</v>
      </c>
      <c r="P105" s="313"/>
      <c r="Q105" s="1"/>
      <c r="R105" s="1"/>
      <c r="S105" s="1"/>
      <c r="T105" s="1"/>
      <c r="U105" s="1"/>
      <c r="V105" s="52"/>
    </row>
    <row r="106" spans="7:22">
      <c r="I106" s="40" t="s">
        <v>1031</v>
      </c>
      <c r="J106" s="41"/>
      <c r="K106" s="41"/>
      <c r="L106" s="190">
        <v>800</v>
      </c>
      <c r="M106" s="190">
        <v>15</v>
      </c>
      <c r="N106" s="190">
        <v>30</v>
      </c>
      <c r="O106" s="190">
        <f>L106*M106*N106/10000</f>
        <v>36</v>
      </c>
      <c r="P106" s="313"/>
      <c r="Q106" s="1"/>
      <c r="R106" s="1"/>
      <c r="S106" s="1"/>
      <c r="T106" s="1"/>
      <c r="U106" s="1"/>
      <c r="V106" s="52"/>
    </row>
    <row r="107" spans="7:22">
      <c r="G107" s="1"/>
      <c r="H107" s="1"/>
      <c r="I107" s="40"/>
      <c r="J107" s="41"/>
      <c r="K107" s="41"/>
      <c r="L107" s="190"/>
      <c r="M107" s="190"/>
      <c r="N107" s="190"/>
      <c r="O107" s="190"/>
      <c r="P107" s="313"/>
      <c r="Q107" s="1"/>
      <c r="R107" s="1"/>
      <c r="S107" s="1"/>
      <c r="T107" s="1"/>
      <c r="U107" s="1"/>
      <c r="V107" s="52"/>
    </row>
    <row r="108" spans="7:22" ht="15">
      <c r="G108" s="1"/>
      <c r="H108" s="1"/>
      <c r="I108" s="314" t="s">
        <v>1014</v>
      </c>
      <c r="J108" s="41"/>
      <c r="K108" s="41"/>
      <c r="L108" s="190"/>
      <c r="M108" s="315" t="s">
        <v>1032</v>
      </c>
      <c r="N108" s="315" t="s">
        <v>1033</v>
      </c>
      <c r="O108" s="315" t="s">
        <v>1034</v>
      </c>
      <c r="P108" s="316" t="s">
        <v>1035</v>
      </c>
      <c r="Q108" s="1"/>
      <c r="R108" s="1"/>
      <c r="S108" s="1"/>
      <c r="T108" s="1"/>
      <c r="U108" s="1"/>
      <c r="V108" s="52"/>
    </row>
    <row r="109" spans="7:22">
      <c r="G109" s="1"/>
      <c r="H109" s="1"/>
      <c r="I109" s="40" t="s">
        <v>1030</v>
      </c>
      <c r="J109" s="41"/>
      <c r="K109" s="41"/>
      <c r="L109" s="190">
        <f>L105</f>
        <v>1264</v>
      </c>
      <c r="M109" s="190">
        <f>L109*4*1.1</f>
        <v>5561.6</v>
      </c>
      <c r="N109" s="190">
        <f>5056*1.1</f>
        <v>5561.6</v>
      </c>
      <c r="O109" s="190">
        <f>M109*0.617</f>
        <v>3431.51</v>
      </c>
      <c r="P109" s="313">
        <f>N109*0.2</f>
        <v>1112.32</v>
      </c>
      <c r="Q109" s="1"/>
      <c r="R109" s="1"/>
      <c r="S109" s="1"/>
      <c r="T109" s="1"/>
      <c r="U109" s="1"/>
      <c r="V109" s="52"/>
    </row>
    <row r="110" spans="7:22">
      <c r="G110" s="1"/>
      <c r="H110" s="1"/>
      <c r="I110" s="84" t="s">
        <v>1031</v>
      </c>
      <c r="J110" s="44"/>
      <c r="K110" s="44"/>
      <c r="L110" s="147">
        <f>L106</f>
        <v>800</v>
      </c>
      <c r="M110" s="147">
        <f>L110*4*1.1</f>
        <v>3520</v>
      </c>
      <c r="N110" s="147">
        <v>3520</v>
      </c>
      <c r="O110" s="147">
        <f>M110*0.617</f>
        <v>2171.84</v>
      </c>
      <c r="P110" s="311">
        <f>N110*0.2</f>
        <v>704</v>
      </c>
      <c r="Q110" s="1"/>
      <c r="R110" s="1"/>
      <c r="S110" s="1"/>
      <c r="T110" s="1"/>
      <c r="U110" s="1"/>
      <c r="V110" s="52"/>
    </row>
    <row r="111" spans="7:22">
      <c r="G111" s="1"/>
      <c r="H111" s="1"/>
      <c r="I111" s="329"/>
      <c r="J111" s="1"/>
      <c r="K111" s="1"/>
      <c r="L111" s="1"/>
      <c r="M111" s="1"/>
      <c r="N111" s="1"/>
      <c r="O111" s="317"/>
      <c r="P111" s="1"/>
      <c r="Q111" s="1"/>
      <c r="R111" s="1"/>
      <c r="S111" s="1"/>
      <c r="T111" s="1"/>
      <c r="U111" s="1"/>
      <c r="V111" s="52"/>
    </row>
    <row r="112" spans="7:22">
      <c r="G112" s="1"/>
      <c r="H112" s="1"/>
      <c r="I112" s="329"/>
      <c r="J112" s="1"/>
      <c r="K112" s="1"/>
      <c r="L112" s="1"/>
      <c r="M112" s="1"/>
      <c r="N112" s="1"/>
      <c r="O112" s="317"/>
      <c r="P112" s="1"/>
      <c r="Q112" s="1"/>
      <c r="R112" s="1"/>
      <c r="S112" s="1"/>
      <c r="T112" s="1"/>
      <c r="U112" s="1"/>
      <c r="V112" s="52"/>
    </row>
    <row r="113" spans="2:22">
      <c r="G113" s="1"/>
      <c r="H113" s="1"/>
      <c r="I113" s="318" t="s">
        <v>1036</v>
      </c>
      <c r="J113" s="177"/>
      <c r="K113" s="177"/>
      <c r="L113" s="177"/>
      <c r="M113" s="177"/>
      <c r="N113" s="177"/>
      <c r="O113" s="319"/>
      <c r="P113" s="179"/>
      <c r="Q113" s="1"/>
      <c r="R113" s="1"/>
      <c r="S113" s="1"/>
      <c r="T113" s="1"/>
      <c r="U113" s="1"/>
      <c r="V113" s="52"/>
    </row>
    <row r="114" spans="2:22">
      <c r="C114" s="23"/>
      <c r="G114" s="1"/>
      <c r="H114" s="1"/>
      <c r="I114" s="318" t="s">
        <v>1037</v>
      </c>
      <c r="J114" s="177"/>
      <c r="K114" s="177"/>
      <c r="L114" s="177"/>
      <c r="M114" s="177"/>
      <c r="N114" s="177"/>
      <c r="O114" s="320"/>
      <c r="P114" s="321"/>
      <c r="Q114" s="1"/>
      <c r="R114" s="1"/>
      <c r="S114" s="1"/>
      <c r="T114" s="1"/>
      <c r="U114" s="1"/>
      <c r="V114" s="52"/>
    </row>
    <row r="115" spans="2:22">
      <c r="G115" s="1"/>
      <c r="H115" s="1"/>
      <c r="I115" s="69"/>
      <c r="J115" s="70" t="s">
        <v>378</v>
      </c>
      <c r="K115" s="70" t="s">
        <v>379</v>
      </c>
      <c r="L115" s="322" t="s">
        <v>1038</v>
      </c>
      <c r="M115" s="322" t="s">
        <v>407</v>
      </c>
      <c r="N115" s="322" t="s">
        <v>1039</v>
      </c>
      <c r="O115" s="323"/>
      <c r="P115" s="42"/>
      <c r="Q115" s="1"/>
      <c r="R115" s="1"/>
      <c r="S115" s="1"/>
      <c r="T115" s="1"/>
      <c r="U115" s="1"/>
      <c r="V115" s="52"/>
    </row>
    <row r="116" spans="2:22" ht="18">
      <c r="B116" s="1"/>
      <c r="C116" s="33"/>
      <c r="D116" s="1"/>
      <c r="E116" s="1"/>
      <c r="F116" s="1"/>
      <c r="G116" s="1"/>
      <c r="H116" s="1"/>
      <c r="I116" s="314" t="s">
        <v>1040</v>
      </c>
      <c r="J116" s="41">
        <v>20</v>
      </c>
      <c r="K116" s="41">
        <v>30</v>
      </c>
      <c r="L116" s="41">
        <v>420</v>
      </c>
      <c r="M116" s="324">
        <v>285</v>
      </c>
      <c r="N116" s="190">
        <f>J116*K116*L116*M116/1000000</f>
        <v>71.819999999999993</v>
      </c>
      <c r="O116" s="190"/>
      <c r="P116" s="42"/>
      <c r="Q116" s="1"/>
      <c r="R116" s="1"/>
      <c r="S116" s="1"/>
      <c r="T116" s="1"/>
      <c r="U116" s="1"/>
      <c r="V116" s="52"/>
    </row>
    <row r="117" spans="2:22" ht="15">
      <c r="B117" s="1"/>
      <c r="C117" s="122"/>
      <c r="D117" s="1"/>
      <c r="E117" s="1"/>
      <c r="F117" s="1"/>
      <c r="G117" s="1"/>
      <c r="H117" s="1"/>
      <c r="I117" s="40" t="s">
        <v>1041</v>
      </c>
      <c r="J117" s="41">
        <v>20</v>
      </c>
      <c r="K117" s="41">
        <v>30</v>
      </c>
      <c r="L117" s="41">
        <v>730</v>
      </c>
      <c r="M117" s="324">
        <v>157</v>
      </c>
      <c r="N117" s="190">
        <f>J117*K117*L117*M117/1000000</f>
        <v>68.77</v>
      </c>
      <c r="O117" s="190"/>
      <c r="P117" s="42"/>
      <c r="Q117" s="1"/>
      <c r="R117" s="1"/>
      <c r="S117" s="1"/>
      <c r="T117" s="1"/>
      <c r="U117" s="1"/>
      <c r="V117" s="52"/>
    </row>
    <row r="118" spans="2:22" ht="18">
      <c r="B118" s="1"/>
      <c r="C118" s="33"/>
      <c r="D118" s="1"/>
      <c r="E118" s="1"/>
      <c r="F118" s="1"/>
      <c r="G118" s="1"/>
      <c r="H118" s="33"/>
      <c r="I118" s="40" t="s">
        <v>1042</v>
      </c>
      <c r="J118" s="41">
        <v>20</v>
      </c>
      <c r="K118" s="41">
        <v>30</v>
      </c>
      <c r="L118" s="41">
        <v>500</v>
      </c>
      <c r="M118" s="324">
        <v>18</v>
      </c>
      <c r="N118" s="190">
        <f>J118*K118*L118*M118/1000000</f>
        <v>5.4</v>
      </c>
      <c r="O118" s="190">
        <f>SUM(N116:N118)</f>
        <v>145.99</v>
      </c>
      <c r="P118" s="106"/>
      <c r="Q118" s="1"/>
      <c r="R118" s="1"/>
      <c r="S118" s="1"/>
      <c r="T118" s="1"/>
      <c r="U118" s="1"/>
      <c r="V118" s="52"/>
    </row>
    <row r="119" spans="2:22" ht="18">
      <c r="B119" s="1"/>
      <c r="C119" s="34"/>
      <c r="D119" s="35"/>
      <c r="E119" s="1"/>
      <c r="F119" s="1"/>
      <c r="G119" s="1"/>
      <c r="H119" s="33"/>
      <c r="I119" s="40"/>
      <c r="J119" s="41"/>
      <c r="K119" s="41"/>
      <c r="L119" s="41"/>
      <c r="M119" s="41"/>
      <c r="N119" s="190"/>
      <c r="O119" s="190"/>
      <c r="P119" s="42"/>
      <c r="Q119" s="1"/>
      <c r="R119" s="1"/>
      <c r="S119" s="1"/>
      <c r="T119" s="1"/>
      <c r="U119" s="1"/>
      <c r="V119" s="52"/>
    </row>
    <row r="120" spans="2:22" ht="15.75">
      <c r="B120" s="1"/>
      <c r="C120" s="27"/>
      <c r="D120" s="35"/>
      <c r="E120" s="1"/>
      <c r="F120" s="1"/>
      <c r="G120" s="1"/>
      <c r="H120" s="34"/>
      <c r="I120" s="40" t="s">
        <v>1014</v>
      </c>
      <c r="J120" s="41" t="s">
        <v>1043</v>
      </c>
      <c r="K120" s="41" t="s">
        <v>380</v>
      </c>
      <c r="L120" s="41" t="s">
        <v>1044</v>
      </c>
      <c r="M120" s="41" t="s">
        <v>407</v>
      </c>
      <c r="N120" s="190" t="s">
        <v>1045</v>
      </c>
      <c r="O120" s="41" t="s">
        <v>1018</v>
      </c>
      <c r="P120" s="42"/>
      <c r="Q120" s="1"/>
      <c r="R120" s="1"/>
      <c r="S120" s="1"/>
      <c r="T120" s="1"/>
      <c r="U120" s="1"/>
      <c r="V120" s="52"/>
    </row>
    <row r="121" spans="2:22">
      <c r="B121" s="1"/>
      <c r="C121" s="27"/>
      <c r="D121" s="36"/>
      <c r="E121" s="1"/>
      <c r="F121" s="1"/>
      <c r="G121" s="1"/>
      <c r="H121" s="27"/>
      <c r="I121" s="314" t="s">
        <v>1040</v>
      </c>
      <c r="J121" s="41">
        <v>10</v>
      </c>
      <c r="K121" s="41">
        <v>4</v>
      </c>
      <c r="L121" s="41">
        <v>4.1500000000000004</v>
      </c>
      <c r="M121" s="41">
        <v>285</v>
      </c>
      <c r="N121" s="190">
        <f t="shared" ref="N121:N126" si="9">M121*L121*K121</f>
        <v>4731</v>
      </c>
      <c r="O121" s="190">
        <f>N121*0.617</f>
        <v>2919.03</v>
      </c>
      <c r="P121" s="42"/>
      <c r="Q121" s="1"/>
      <c r="R121" s="1"/>
      <c r="S121" s="1"/>
      <c r="T121" s="1"/>
      <c r="U121" s="1"/>
      <c r="V121" s="52"/>
    </row>
    <row r="122" spans="2:22" ht="15.75">
      <c r="B122" s="1"/>
      <c r="C122" s="34"/>
      <c r="D122" s="35"/>
      <c r="E122" s="1"/>
      <c r="F122" s="1"/>
      <c r="G122" s="1"/>
      <c r="H122" s="27"/>
      <c r="I122" s="314" t="s">
        <v>1040</v>
      </c>
      <c r="J122" s="41">
        <v>5</v>
      </c>
      <c r="K122" s="41">
        <v>28</v>
      </c>
      <c r="L122" s="41">
        <v>0.9</v>
      </c>
      <c r="M122" s="41">
        <f>M121</f>
        <v>285</v>
      </c>
      <c r="N122" s="190">
        <f t="shared" si="9"/>
        <v>7182</v>
      </c>
      <c r="O122" s="190">
        <f>N122*0.13</f>
        <v>933.66</v>
      </c>
      <c r="P122" s="42"/>
      <c r="Q122" s="1"/>
      <c r="R122" s="1"/>
      <c r="S122" s="1"/>
      <c r="T122" s="1"/>
      <c r="U122" s="1"/>
      <c r="V122" s="52"/>
    </row>
    <row r="123" spans="2:22" ht="15.75">
      <c r="B123" s="1"/>
      <c r="C123" s="27"/>
      <c r="D123" s="35"/>
      <c r="E123" s="1"/>
      <c r="F123" s="1"/>
      <c r="G123" s="1"/>
      <c r="H123" s="27"/>
      <c r="I123" s="40" t="s">
        <v>1041</v>
      </c>
      <c r="J123" s="41">
        <v>10</v>
      </c>
      <c r="K123" s="41">
        <v>6</v>
      </c>
      <c r="L123" s="41">
        <v>7.3</v>
      </c>
      <c r="M123" s="41">
        <v>157</v>
      </c>
      <c r="N123" s="190">
        <f t="shared" si="9"/>
        <v>6876.6</v>
      </c>
      <c r="O123" s="190">
        <f>N123*0.617</f>
        <v>4242.8599999999997</v>
      </c>
      <c r="P123" s="42"/>
      <c r="Q123" s="1"/>
      <c r="R123" s="1"/>
      <c r="S123" s="1"/>
      <c r="T123" s="1"/>
      <c r="U123" s="1"/>
      <c r="V123" s="52"/>
    </row>
    <row r="124" spans="2:22">
      <c r="B124" s="1"/>
      <c r="C124" s="27"/>
      <c r="D124" s="36"/>
      <c r="E124" s="1"/>
      <c r="F124" s="1"/>
      <c r="G124" s="1"/>
      <c r="H124" s="27"/>
      <c r="I124" s="40" t="s">
        <v>1041</v>
      </c>
      <c r="J124" s="41">
        <v>5</v>
      </c>
      <c r="K124" s="41">
        <v>50</v>
      </c>
      <c r="L124" s="41">
        <v>0.9</v>
      </c>
      <c r="M124" s="41">
        <f>M123</f>
        <v>157</v>
      </c>
      <c r="N124" s="190">
        <f t="shared" si="9"/>
        <v>7065</v>
      </c>
      <c r="O124" s="190">
        <f>N124*0.13</f>
        <v>918.45</v>
      </c>
      <c r="P124" s="42"/>
      <c r="Q124" s="1"/>
      <c r="R124" s="1"/>
      <c r="S124" s="1"/>
      <c r="T124" s="1"/>
      <c r="U124" s="1"/>
      <c r="V124" s="52"/>
    </row>
    <row r="125" spans="2:22" ht="15.75">
      <c r="B125" s="1"/>
      <c r="C125" s="27"/>
      <c r="D125" s="35"/>
      <c r="E125" s="1"/>
      <c r="F125" s="1"/>
      <c r="G125" s="1"/>
      <c r="H125" s="27"/>
      <c r="I125" s="314" t="s">
        <v>1042</v>
      </c>
      <c r="J125" s="41">
        <v>10</v>
      </c>
      <c r="K125" s="41">
        <v>6</v>
      </c>
      <c r="L125" s="41">
        <v>4.6500000000000004</v>
      </c>
      <c r="M125" s="41">
        <v>157</v>
      </c>
      <c r="N125" s="190">
        <f t="shared" si="9"/>
        <v>4380.3</v>
      </c>
      <c r="O125" s="190">
        <f>N125*0.617</f>
        <v>2702.65</v>
      </c>
      <c r="P125" s="42"/>
      <c r="Q125" s="1"/>
      <c r="R125" s="1"/>
      <c r="S125" s="1"/>
      <c r="T125" s="1"/>
      <c r="U125" s="1"/>
      <c r="V125" s="52"/>
    </row>
    <row r="126" spans="2:22">
      <c r="B126" s="1"/>
      <c r="C126" s="27"/>
      <c r="D126" s="36"/>
      <c r="E126" s="1"/>
      <c r="F126" s="1"/>
      <c r="G126" s="1"/>
      <c r="H126" s="27"/>
      <c r="I126" s="314" t="s">
        <v>1042</v>
      </c>
      <c r="J126" s="41">
        <v>5</v>
      </c>
      <c r="K126" s="41">
        <v>32</v>
      </c>
      <c r="L126" s="41">
        <v>0.9</v>
      </c>
      <c r="M126" s="41">
        <f>M125</f>
        <v>157</v>
      </c>
      <c r="N126" s="190">
        <f t="shared" si="9"/>
        <v>4521.6000000000004</v>
      </c>
      <c r="O126" s="190">
        <f>N126*0.13</f>
        <v>587.80999999999995</v>
      </c>
      <c r="P126" s="106">
        <f>SUM(O121:O126)</f>
        <v>12304.46</v>
      </c>
      <c r="Q126" s="330"/>
      <c r="R126" s="1"/>
      <c r="S126" s="1"/>
      <c r="T126" s="1"/>
      <c r="U126" s="1"/>
      <c r="V126" s="52"/>
    </row>
    <row r="127" spans="2:22" ht="15.75">
      <c r="B127" s="1"/>
      <c r="C127" s="34"/>
      <c r="D127" s="35"/>
      <c r="E127" s="1"/>
      <c r="F127" s="1"/>
      <c r="G127" s="1"/>
      <c r="H127" s="34"/>
      <c r="I127" s="92"/>
      <c r="J127" s="107"/>
      <c r="K127" s="107"/>
      <c r="L127" s="107"/>
      <c r="M127" s="107"/>
      <c r="N127" s="107"/>
      <c r="O127" s="325"/>
      <c r="P127" s="109"/>
      <c r="Q127" s="330"/>
      <c r="R127" s="1"/>
      <c r="S127" s="1"/>
      <c r="T127" s="1"/>
      <c r="U127" s="1"/>
      <c r="V127" s="52"/>
    </row>
    <row r="128" spans="2:22" ht="15.75">
      <c r="B128" s="1"/>
      <c r="C128" s="27"/>
      <c r="D128" s="35"/>
      <c r="E128" s="1"/>
      <c r="F128" s="1"/>
      <c r="G128" s="1"/>
      <c r="H128" s="27"/>
      <c r="I128" s="79" t="s">
        <v>1046</v>
      </c>
      <c r="J128" s="81"/>
      <c r="K128" s="81"/>
      <c r="L128" s="81"/>
      <c r="M128" s="81"/>
      <c r="N128" s="81"/>
      <c r="O128" s="312"/>
      <c r="P128" s="82"/>
      <c r="Q128" s="1"/>
      <c r="R128" s="1"/>
      <c r="S128" s="1"/>
      <c r="T128" s="1"/>
      <c r="U128" s="1"/>
      <c r="V128" s="52"/>
    </row>
    <row r="129" spans="2:22">
      <c r="B129" s="1"/>
      <c r="C129" s="27"/>
      <c r="D129" s="36"/>
      <c r="E129" s="1"/>
      <c r="F129" s="1"/>
      <c r="G129" s="1"/>
      <c r="H129" s="27"/>
      <c r="I129" s="40" t="s">
        <v>1047</v>
      </c>
      <c r="J129" s="41"/>
      <c r="K129" s="41" t="s">
        <v>1048</v>
      </c>
      <c r="L129" s="41">
        <v>160</v>
      </c>
      <c r="M129" s="41" t="s">
        <v>9</v>
      </c>
      <c r="N129" s="41"/>
      <c r="O129" s="190"/>
      <c r="P129" s="42"/>
      <c r="Q129" s="1"/>
      <c r="R129" s="1"/>
      <c r="S129" s="1"/>
      <c r="T129" s="1"/>
      <c r="U129" s="1"/>
      <c r="V129" s="52"/>
    </row>
    <row r="130" spans="2:22" ht="15.75">
      <c r="B130" s="1"/>
      <c r="C130" s="27"/>
      <c r="D130" s="35"/>
      <c r="E130" s="1"/>
      <c r="F130" s="1"/>
      <c r="G130" s="1"/>
      <c r="H130" s="34"/>
      <c r="I130" s="84" t="s">
        <v>1049</v>
      </c>
      <c r="J130" s="44"/>
      <c r="K130" s="44" t="s">
        <v>1048</v>
      </c>
      <c r="L130" s="44">
        <v>13000</v>
      </c>
      <c r="M130" s="44" t="s">
        <v>4</v>
      </c>
      <c r="N130" s="44"/>
      <c r="O130" s="147"/>
      <c r="P130" s="45"/>
      <c r="Q130" s="1"/>
      <c r="R130" s="1"/>
      <c r="S130" s="1"/>
      <c r="T130" s="1"/>
      <c r="U130" s="1"/>
      <c r="V130" s="52"/>
    </row>
    <row r="131" spans="2:22">
      <c r="B131" s="1"/>
      <c r="C131" s="27"/>
      <c r="D131" s="36"/>
      <c r="E131" s="1"/>
      <c r="F131" s="1"/>
      <c r="G131" s="1"/>
      <c r="H131" s="27"/>
      <c r="I131" s="329"/>
      <c r="J131" s="1"/>
      <c r="K131" s="1"/>
      <c r="L131" s="1"/>
      <c r="M131" s="1"/>
      <c r="N131" s="1"/>
      <c r="O131" s="317"/>
      <c r="P131" s="1"/>
      <c r="Q131" s="1"/>
      <c r="R131" s="1"/>
      <c r="S131" s="1"/>
      <c r="T131" s="1"/>
      <c r="U131" s="1"/>
      <c r="V131" s="52"/>
    </row>
    <row r="132" spans="2:22" ht="15.75">
      <c r="B132" s="1"/>
      <c r="C132" s="34"/>
      <c r="D132" s="35"/>
      <c r="E132" s="1"/>
      <c r="F132" s="1"/>
      <c r="G132" s="1"/>
      <c r="H132" s="27"/>
      <c r="I132" s="329"/>
      <c r="J132" s="1"/>
      <c r="K132" s="1"/>
      <c r="L132" s="1"/>
      <c r="M132" s="1"/>
      <c r="N132" s="1"/>
      <c r="O132" s="317"/>
      <c r="P132" s="1"/>
      <c r="Q132" s="1"/>
      <c r="R132" s="1"/>
      <c r="S132" s="1"/>
      <c r="T132" s="1"/>
      <c r="U132" s="1"/>
      <c r="V132" s="52"/>
    </row>
    <row r="133" spans="2:22" ht="15.75">
      <c r="B133" s="1"/>
      <c r="C133" s="27"/>
      <c r="D133" s="35"/>
      <c r="E133" s="1"/>
      <c r="F133" s="1"/>
      <c r="G133" s="1"/>
      <c r="H133" s="34"/>
      <c r="I133" s="79" t="s">
        <v>1050</v>
      </c>
      <c r="J133" s="81"/>
      <c r="K133" s="81"/>
      <c r="L133" s="81"/>
      <c r="M133" s="81" t="s">
        <v>378</v>
      </c>
      <c r="N133" s="81" t="s">
        <v>379</v>
      </c>
      <c r="O133" s="312" t="s">
        <v>1008</v>
      </c>
      <c r="P133" s="82"/>
      <c r="Q133" s="1"/>
      <c r="R133" s="1"/>
      <c r="S133" s="1"/>
      <c r="T133" s="1"/>
      <c r="U133" s="1"/>
      <c r="V133" s="52"/>
    </row>
    <row r="134" spans="2:22">
      <c r="B134" s="1"/>
      <c r="C134" s="27"/>
      <c r="D134" s="36"/>
      <c r="E134" s="1"/>
      <c r="F134" s="1"/>
      <c r="G134" s="1"/>
      <c r="H134" s="27"/>
      <c r="I134" s="40" t="s">
        <v>1051</v>
      </c>
      <c r="J134" s="41"/>
      <c r="K134" s="41"/>
      <c r="L134" s="41">
        <v>1260</v>
      </c>
      <c r="M134" s="41">
        <v>15</v>
      </c>
      <c r="N134" s="41">
        <v>30</v>
      </c>
      <c r="O134" s="190">
        <f>L134*M134*N134/10000</f>
        <v>56.7</v>
      </c>
      <c r="P134" s="42"/>
      <c r="Q134" s="1"/>
      <c r="R134" s="1"/>
      <c r="S134" s="1"/>
      <c r="T134" s="1"/>
      <c r="U134" s="1"/>
      <c r="V134" s="52"/>
    </row>
    <row r="135" spans="2:22" ht="15.75">
      <c r="B135" s="1"/>
      <c r="C135" s="27"/>
      <c r="D135" s="35"/>
      <c r="E135" s="1"/>
      <c r="F135" s="1"/>
      <c r="G135" s="1"/>
      <c r="H135" s="27"/>
      <c r="I135" s="40" t="s">
        <v>1052</v>
      </c>
      <c r="J135" s="41"/>
      <c r="K135" s="41"/>
      <c r="L135" s="41">
        <v>428</v>
      </c>
      <c r="M135" s="41">
        <v>15</v>
      </c>
      <c r="N135" s="41">
        <v>30</v>
      </c>
      <c r="O135" s="190">
        <f>L135*M135*N135/10000</f>
        <v>19.260000000000002</v>
      </c>
      <c r="P135" s="42"/>
      <c r="Q135" s="1"/>
      <c r="R135" s="1"/>
      <c r="S135" s="1"/>
      <c r="T135" s="1"/>
      <c r="U135" s="1"/>
      <c r="V135" s="52"/>
    </row>
    <row r="136" spans="2:22">
      <c r="B136" s="1"/>
      <c r="C136" s="27"/>
      <c r="D136" s="36"/>
      <c r="E136" s="1"/>
      <c r="F136" s="1"/>
      <c r="G136" s="1"/>
      <c r="H136" s="34"/>
      <c r="I136" s="40"/>
      <c r="J136" s="41"/>
      <c r="K136" s="41"/>
      <c r="L136" s="41"/>
      <c r="M136" s="41"/>
      <c r="N136" s="41"/>
      <c r="O136" s="190"/>
      <c r="P136" s="42"/>
      <c r="Q136" s="1"/>
      <c r="R136" s="1"/>
      <c r="S136" s="1"/>
      <c r="T136" s="1"/>
      <c r="U136" s="1"/>
      <c r="V136" s="52"/>
    </row>
    <row r="137" spans="2:22" ht="15.75">
      <c r="B137" s="1"/>
      <c r="C137" s="27"/>
      <c r="D137" s="35"/>
      <c r="E137" s="1"/>
      <c r="F137" s="1"/>
      <c r="G137" s="1"/>
      <c r="H137" s="27"/>
      <c r="I137" s="314" t="s">
        <v>1014</v>
      </c>
      <c r="J137" s="41"/>
      <c r="K137" s="41"/>
      <c r="L137" s="190"/>
      <c r="M137" s="315" t="s">
        <v>1032</v>
      </c>
      <c r="N137" s="315" t="s">
        <v>1033</v>
      </c>
      <c r="O137" s="315" t="s">
        <v>1034</v>
      </c>
      <c r="P137" s="316" t="s">
        <v>1035</v>
      </c>
      <c r="Q137" s="1"/>
      <c r="R137" s="1"/>
      <c r="S137" s="1"/>
      <c r="T137" s="1"/>
      <c r="U137" s="1"/>
      <c r="V137" s="52"/>
    </row>
    <row r="138" spans="2:22">
      <c r="B138" s="1"/>
      <c r="C138" s="27"/>
      <c r="D138" s="36"/>
      <c r="E138" s="1"/>
      <c r="F138" s="1"/>
      <c r="G138" s="1"/>
      <c r="H138" s="27"/>
      <c r="I138" s="40" t="s">
        <v>1030</v>
      </c>
      <c r="J138" s="41"/>
      <c r="K138" s="41"/>
      <c r="L138" s="190">
        <f>L134</f>
        <v>1260</v>
      </c>
      <c r="M138" s="190">
        <f>L138*4*1.1</f>
        <v>5544</v>
      </c>
      <c r="N138" s="190">
        <f>5056*1.1</f>
        <v>5561.6</v>
      </c>
      <c r="O138" s="190">
        <f>M138*0.617</f>
        <v>3420.65</v>
      </c>
      <c r="P138" s="313">
        <f>N138*0.13</f>
        <v>723.01</v>
      </c>
      <c r="Q138" s="1"/>
      <c r="R138" s="1"/>
      <c r="S138" s="1"/>
      <c r="T138" s="1"/>
      <c r="U138" s="1"/>
      <c r="V138" s="52"/>
    </row>
    <row r="139" spans="2:22">
      <c r="B139" s="1"/>
      <c r="C139" s="27"/>
      <c r="D139" s="36"/>
      <c r="E139" s="1"/>
      <c r="F139" s="1"/>
      <c r="G139" s="1"/>
      <c r="H139" s="27"/>
      <c r="I139" s="84" t="s">
        <v>1031</v>
      </c>
      <c r="J139" s="44"/>
      <c r="K139" s="44"/>
      <c r="L139" s="147">
        <f>L135</f>
        <v>428</v>
      </c>
      <c r="M139" s="147">
        <f>L139*4*1.1</f>
        <v>1883.2</v>
      </c>
      <c r="N139" s="147">
        <v>3520</v>
      </c>
      <c r="O139" s="147">
        <f>M139*0.617</f>
        <v>1161.93</v>
      </c>
      <c r="P139" s="311">
        <f>N139*0.13</f>
        <v>457.6</v>
      </c>
      <c r="Q139" s="1"/>
      <c r="R139" s="1"/>
      <c r="S139" s="1"/>
      <c r="T139" s="1"/>
      <c r="U139" s="1"/>
      <c r="V139" s="52"/>
    </row>
    <row r="140" spans="2:22" ht="15.75">
      <c r="B140" s="1"/>
      <c r="C140" s="27"/>
      <c r="D140" s="35"/>
      <c r="E140" s="1"/>
      <c r="F140" s="1"/>
      <c r="G140" s="1"/>
      <c r="H140" s="27"/>
      <c r="I140" s="329"/>
      <c r="J140" s="1"/>
      <c r="K140" s="1"/>
      <c r="L140" s="1"/>
      <c r="M140" s="1"/>
      <c r="N140" s="1"/>
      <c r="O140" s="317"/>
      <c r="P140" s="1"/>
      <c r="Q140" s="1"/>
      <c r="R140" s="1"/>
      <c r="S140" s="1"/>
      <c r="T140" s="1"/>
      <c r="U140" s="1"/>
      <c r="V140" s="52"/>
    </row>
    <row r="141" spans="2:22">
      <c r="B141" s="1"/>
      <c r="C141" s="27"/>
      <c r="D141" s="36"/>
      <c r="E141" s="1"/>
      <c r="F141" s="1"/>
      <c r="G141" s="1"/>
      <c r="H141" s="27"/>
      <c r="I141" s="329"/>
      <c r="J141" s="1"/>
      <c r="K141" s="1"/>
      <c r="L141" s="1"/>
      <c r="M141" s="1"/>
      <c r="N141" s="1"/>
      <c r="O141" s="317"/>
      <c r="P141" s="1"/>
      <c r="Q141" s="1"/>
      <c r="R141" s="1"/>
      <c r="S141" s="1"/>
      <c r="T141" s="1"/>
      <c r="U141" s="1"/>
      <c r="V141" s="52"/>
    </row>
    <row r="142" spans="2:22">
      <c r="B142" s="1"/>
      <c r="C142" s="27"/>
      <c r="D142" s="36"/>
      <c r="E142" s="1"/>
      <c r="F142" s="1"/>
      <c r="G142" s="1"/>
      <c r="H142" s="27"/>
      <c r="I142" s="79" t="s">
        <v>1053</v>
      </c>
      <c r="J142" s="81"/>
      <c r="K142" s="81"/>
      <c r="L142" s="81"/>
      <c r="M142" s="81" t="s">
        <v>378</v>
      </c>
      <c r="N142" s="81" t="s">
        <v>379</v>
      </c>
      <c r="O142" s="312" t="s">
        <v>1008</v>
      </c>
      <c r="P142" s="82"/>
      <c r="Q142" s="1"/>
      <c r="R142" s="1"/>
      <c r="S142" s="1"/>
      <c r="T142" s="1"/>
      <c r="U142" s="1"/>
      <c r="V142" s="52"/>
    </row>
    <row r="143" spans="2:22" ht="15.75">
      <c r="B143" s="1"/>
      <c r="C143" s="27"/>
      <c r="D143" s="35"/>
      <c r="E143" s="1"/>
      <c r="F143" s="1"/>
      <c r="G143" s="1"/>
      <c r="H143" s="27"/>
      <c r="I143" s="40" t="s">
        <v>1051</v>
      </c>
      <c r="J143" s="41"/>
      <c r="K143" s="41"/>
      <c r="L143" s="41">
        <v>440</v>
      </c>
      <c r="M143" s="41">
        <v>15</v>
      </c>
      <c r="N143" s="41">
        <v>20</v>
      </c>
      <c r="O143" s="190">
        <f>L143*M143*N143/10000</f>
        <v>13.2</v>
      </c>
      <c r="P143" s="42"/>
      <c r="Q143" s="1"/>
      <c r="R143" s="1"/>
      <c r="S143" s="1"/>
      <c r="T143" s="1"/>
      <c r="U143" s="1"/>
      <c r="V143" s="52"/>
    </row>
    <row r="144" spans="2:22">
      <c r="B144" s="1"/>
      <c r="C144" s="27"/>
      <c r="D144" s="36"/>
      <c r="E144" s="1"/>
      <c r="F144" s="1"/>
      <c r="G144" s="1"/>
      <c r="H144" s="27"/>
      <c r="I144" s="40" t="s">
        <v>1052</v>
      </c>
      <c r="J144" s="41"/>
      <c r="K144" s="41"/>
      <c r="L144" s="41">
        <v>292</v>
      </c>
      <c r="M144" s="41">
        <v>15</v>
      </c>
      <c r="N144" s="41">
        <v>20</v>
      </c>
      <c r="O144" s="190">
        <f>L144*M144*N144/10000</f>
        <v>8.76</v>
      </c>
      <c r="P144" s="42"/>
      <c r="Q144" s="1"/>
      <c r="R144" s="1"/>
      <c r="S144" s="1"/>
      <c r="T144" s="1"/>
      <c r="U144" s="1"/>
      <c r="V144" s="52"/>
    </row>
    <row r="145" spans="2:22" ht="15.75">
      <c r="B145" s="1"/>
      <c r="C145" s="27"/>
      <c r="D145" s="35"/>
      <c r="E145" s="1"/>
      <c r="F145" s="1"/>
      <c r="G145" s="1"/>
      <c r="H145" s="27"/>
      <c r="I145" s="40"/>
      <c r="J145" s="41"/>
      <c r="K145" s="41"/>
      <c r="L145" s="41"/>
      <c r="M145" s="41"/>
      <c r="N145" s="41"/>
      <c r="O145" s="190"/>
      <c r="P145" s="42"/>
      <c r="Q145" s="1"/>
      <c r="R145" s="1"/>
      <c r="S145" s="1"/>
      <c r="T145" s="1"/>
      <c r="U145" s="1"/>
      <c r="V145" s="52"/>
    </row>
    <row r="146" spans="2:22" ht="15">
      <c r="B146" s="1"/>
      <c r="C146" s="27"/>
      <c r="D146" s="36"/>
      <c r="E146" s="1"/>
      <c r="F146" s="1"/>
      <c r="G146" s="1"/>
      <c r="H146" s="27"/>
      <c r="I146" s="314" t="s">
        <v>1014</v>
      </c>
      <c r="J146" s="41"/>
      <c r="K146" s="41"/>
      <c r="L146" s="190"/>
      <c r="M146" s="315" t="s">
        <v>1054</v>
      </c>
      <c r="N146" s="315" t="s">
        <v>1033</v>
      </c>
      <c r="O146" s="315" t="s">
        <v>1055</v>
      </c>
      <c r="P146" s="316" t="s">
        <v>1035</v>
      </c>
      <c r="Q146" s="1"/>
      <c r="R146" s="1"/>
      <c r="S146" s="1"/>
      <c r="T146" s="1"/>
      <c r="U146" s="1"/>
      <c r="V146" s="52"/>
    </row>
    <row r="147" spans="2:22" ht="15.75">
      <c r="B147" s="1"/>
      <c r="C147" s="27"/>
      <c r="D147" s="35"/>
      <c r="E147" s="1"/>
      <c r="F147" s="1"/>
      <c r="G147" s="1"/>
      <c r="H147" s="27"/>
      <c r="I147" s="40" t="s">
        <v>1030</v>
      </c>
      <c r="J147" s="41"/>
      <c r="K147" s="41"/>
      <c r="L147" s="190">
        <f>L143</f>
        <v>440</v>
      </c>
      <c r="M147" s="190">
        <f>L147*4*1.1</f>
        <v>1936</v>
      </c>
      <c r="N147" s="190">
        <f>5056*1.1</f>
        <v>5561.6</v>
      </c>
      <c r="O147" s="190">
        <f>M147*0.395</f>
        <v>764.72</v>
      </c>
      <c r="P147" s="313">
        <f>N147*0.13</f>
        <v>723.01</v>
      </c>
      <c r="Q147" s="1"/>
      <c r="R147" s="1"/>
      <c r="S147" s="1"/>
      <c r="T147" s="1"/>
      <c r="U147" s="1"/>
      <c r="V147" s="52"/>
    </row>
    <row r="148" spans="2:22">
      <c r="B148" s="1"/>
      <c r="C148" s="27"/>
      <c r="D148" s="36"/>
      <c r="E148" s="1"/>
      <c r="F148" s="1"/>
      <c r="G148" s="1"/>
      <c r="H148" s="27"/>
      <c r="I148" s="84" t="s">
        <v>1031</v>
      </c>
      <c r="J148" s="44"/>
      <c r="K148" s="44"/>
      <c r="L148" s="147">
        <f>L144</f>
        <v>292</v>
      </c>
      <c r="M148" s="147">
        <f>L148*4*1.1</f>
        <v>1284.8</v>
      </c>
      <c r="N148" s="147">
        <v>3520</v>
      </c>
      <c r="O148" s="147">
        <f>M148*0.395</f>
        <v>507.5</v>
      </c>
      <c r="P148" s="311">
        <f>N148*0.13</f>
        <v>457.6</v>
      </c>
      <c r="Q148" s="1"/>
      <c r="R148" s="1"/>
      <c r="S148" s="1"/>
      <c r="T148" s="1"/>
      <c r="U148" s="1"/>
      <c r="V148" s="52"/>
    </row>
    <row r="149" spans="2:22" ht="15.75">
      <c r="B149" s="1"/>
      <c r="C149" s="34"/>
      <c r="D149" s="35"/>
      <c r="E149" s="1"/>
      <c r="F149" s="1"/>
      <c r="G149" s="1"/>
      <c r="H149" s="27"/>
      <c r="I149" s="329"/>
      <c r="J149" s="1"/>
      <c r="K149" s="1"/>
      <c r="L149" s="1"/>
      <c r="M149" s="1"/>
      <c r="N149" s="1"/>
      <c r="O149" s="317"/>
      <c r="P149" s="1"/>
      <c r="Q149" s="1"/>
      <c r="R149" s="1"/>
      <c r="S149" s="1"/>
      <c r="T149" s="1"/>
      <c r="U149" s="1"/>
      <c r="V149" s="52"/>
    </row>
    <row r="150" spans="2:22" ht="15.75">
      <c r="B150" s="1"/>
      <c r="C150" s="27"/>
      <c r="D150" s="35"/>
      <c r="E150" s="1"/>
      <c r="F150" s="1"/>
      <c r="G150" s="1"/>
      <c r="H150" s="27"/>
      <c r="I150" s="329"/>
      <c r="J150" s="1"/>
      <c r="K150" s="1"/>
      <c r="L150" s="1"/>
      <c r="M150" s="1"/>
      <c r="N150" s="1"/>
      <c r="O150" s="317"/>
      <c r="P150" s="1"/>
      <c r="Q150" s="1"/>
      <c r="R150" s="1"/>
      <c r="S150" s="1"/>
      <c r="T150" s="1"/>
      <c r="U150" s="1"/>
      <c r="V150" s="52"/>
    </row>
    <row r="151" spans="2:22">
      <c r="B151" s="1"/>
      <c r="C151" s="27"/>
      <c r="D151" s="36"/>
      <c r="E151" s="1"/>
      <c r="F151" s="1"/>
      <c r="G151" s="1"/>
      <c r="H151" s="27"/>
      <c r="I151" s="94" t="s">
        <v>1056</v>
      </c>
      <c r="J151" s="95"/>
      <c r="K151" s="95"/>
      <c r="L151" s="95"/>
      <c r="M151" s="95"/>
      <c r="N151" s="95"/>
      <c r="O151" s="326"/>
      <c r="P151" s="327"/>
      <c r="Q151" s="1"/>
      <c r="R151" s="1"/>
      <c r="S151" s="1"/>
      <c r="T151" s="1"/>
      <c r="U151" s="1"/>
      <c r="V151" s="52"/>
    </row>
    <row r="152" spans="2:22" ht="15.75">
      <c r="B152" s="1"/>
      <c r="C152" s="27"/>
      <c r="D152" s="35"/>
      <c r="E152" s="1"/>
      <c r="F152" s="1"/>
      <c r="G152" s="1"/>
      <c r="H152" s="27"/>
      <c r="I152" s="69"/>
      <c r="J152" s="70"/>
      <c r="K152" s="70"/>
      <c r="L152" s="70" t="s">
        <v>3</v>
      </c>
      <c r="M152" s="70" t="s">
        <v>743</v>
      </c>
      <c r="N152" s="70" t="s">
        <v>407</v>
      </c>
      <c r="O152" s="323"/>
      <c r="P152" s="174"/>
      <c r="Q152" s="1"/>
      <c r="R152" s="1"/>
      <c r="S152" s="1"/>
      <c r="T152" s="1"/>
      <c r="U152" s="1"/>
      <c r="V152" s="52"/>
    </row>
    <row r="153" spans="2:22">
      <c r="B153" s="1"/>
      <c r="C153" s="27"/>
      <c r="D153" s="36"/>
      <c r="E153" s="1"/>
      <c r="F153" s="1"/>
      <c r="G153" s="1"/>
      <c r="H153" s="27"/>
      <c r="I153" s="40" t="s">
        <v>1057</v>
      </c>
      <c r="J153" s="41"/>
      <c r="K153" s="41"/>
      <c r="L153" s="41">
        <f>23*2</f>
        <v>46</v>
      </c>
      <c r="M153" s="41">
        <f>L153*3.54</f>
        <v>162.84</v>
      </c>
      <c r="N153" s="41">
        <v>82</v>
      </c>
      <c r="O153" s="190">
        <f>N153*M153</f>
        <v>13352.88</v>
      </c>
      <c r="P153" s="42" t="s">
        <v>4</v>
      </c>
      <c r="Q153" s="1"/>
      <c r="R153" s="1"/>
      <c r="S153" s="1"/>
      <c r="T153" s="1"/>
      <c r="U153" s="1"/>
      <c r="V153" s="52"/>
    </row>
    <row r="154" spans="2:22" ht="15.75">
      <c r="B154" s="1"/>
      <c r="C154" s="27"/>
      <c r="D154" s="35"/>
      <c r="E154" s="1"/>
      <c r="F154" s="1"/>
      <c r="G154" s="1"/>
      <c r="H154" s="27"/>
      <c r="I154" s="40" t="s">
        <v>1058</v>
      </c>
      <c r="J154" s="41"/>
      <c r="K154" s="41"/>
      <c r="L154" s="41">
        <v>72</v>
      </c>
      <c r="M154" s="41">
        <f>L154*1.83</f>
        <v>131.76</v>
      </c>
      <c r="N154" s="41">
        <v>82</v>
      </c>
      <c r="O154" s="190">
        <f>N154*M154</f>
        <v>10804.32</v>
      </c>
      <c r="P154" s="42" t="s">
        <v>4</v>
      </c>
      <c r="Q154" s="1"/>
      <c r="R154" s="1"/>
      <c r="S154" s="1"/>
      <c r="T154" s="1"/>
      <c r="U154" s="1"/>
      <c r="V154" s="52"/>
    </row>
    <row r="155" spans="2:22">
      <c r="B155" s="1"/>
      <c r="C155" s="27"/>
      <c r="D155" s="36"/>
      <c r="E155" s="1"/>
      <c r="F155" s="1"/>
      <c r="G155" s="1"/>
      <c r="H155" s="27"/>
      <c r="I155" s="40"/>
      <c r="J155" s="41"/>
      <c r="K155" s="41"/>
      <c r="L155" s="41"/>
      <c r="M155" s="41"/>
      <c r="N155" s="41"/>
      <c r="O155" s="190"/>
      <c r="P155" s="42"/>
      <c r="Q155" s="1"/>
      <c r="R155" s="1"/>
      <c r="S155" s="1"/>
      <c r="T155" s="1"/>
      <c r="U155" s="1"/>
      <c r="V155" s="52"/>
    </row>
    <row r="156" spans="2:22">
      <c r="B156" s="1"/>
      <c r="C156" s="27"/>
      <c r="D156" s="36"/>
      <c r="E156" s="1"/>
      <c r="F156" s="1"/>
      <c r="G156" s="1"/>
      <c r="H156" s="34"/>
      <c r="I156" s="40" t="s">
        <v>1059</v>
      </c>
      <c r="J156" s="41"/>
      <c r="K156" s="41"/>
      <c r="L156" s="41">
        <v>124</v>
      </c>
      <c r="M156" s="41">
        <v>3.43</v>
      </c>
      <c r="N156" s="41">
        <v>28</v>
      </c>
      <c r="O156" s="190">
        <f>N156*L156*M156</f>
        <v>11908.96</v>
      </c>
      <c r="P156" s="42" t="s">
        <v>4</v>
      </c>
      <c r="Q156" s="1"/>
      <c r="R156" s="1"/>
      <c r="S156" s="1"/>
      <c r="T156" s="1"/>
      <c r="U156" s="1"/>
      <c r="V156" s="52"/>
    </row>
    <row r="157" spans="2:22" ht="15.75">
      <c r="B157" s="1"/>
      <c r="C157" s="27"/>
      <c r="D157" s="35"/>
      <c r="E157" s="1"/>
      <c r="F157" s="1"/>
      <c r="G157" s="1"/>
      <c r="H157" s="27"/>
      <c r="I157" s="40" t="s">
        <v>1059</v>
      </c>
      <c r="J157" s="41"/>
      <c r="K157" s="41"/>
      <c r="L157" s="41">
        <v>186</v>
      </c>
      <c r="M157" s="41">
        <v>3.43</v>
      </c>
      <c r="N157" s="41">
        <v>28</v>
      </c>
      <c r="O157" s="190">
        <f>N157*L157*M157</f>
        <v>17863.439999999999</v>
      </c>
      <c r="P157" s="42" t="s">
        <v>4</v>
      </c>
      <c r="Q157" s="1"/>
      <c r="R157" s="1"/>
      <c r="S157" s="1"/>
      <c r="T157" s="1"/>
      <c r="U157" s="1"/>
      <c r="V157" s="52"/>
    </row>
    <row r="158" spans="2:22">
      <c r="B158" s="1"/>
      <c r="C158" s="27"/>
      <c r="D158" s="36"/>
      <c r="E158" s="1"/>
      <c r="F158" s="1"/>
      <c r="G158" s="1"/>
      <c r="H158" s="27"/>
      <c r="I158" s="40"/>
      <c r="J158" s="41"/>
      <c r="K158" s="41"/>
      <c r="L158" s="41"/>
      <c r="M158" s="41"/>
      <c r="N158" s="41"/>
      <c r="O158" s="190"/>
      <c r="P158" s="42"/>
      <c r="Q158" s="1"/>
      <c r="R158" s="1"/>
      <c r="S158" s="1"/>
      <c r="T158" s="1"/>
      <c r="U158" s="1"/>
      <c r="V158" s="52"/>
    </row>
    <row r="159" spans="2:22" ht="15.75">
      <c r="B159" s="1"/>
      <c r="C159" s="34"/>
      <c r="D159" s="35"/>
      <c r="E159" s="1"/>
      <c r="F159" s="1"/>
      <c r="G159" s="1"/>
      <c r="H159" s="1"/>
      <c r="I159" s="40" t="s">
        <v>1060</v>
      </c>
      <c r="J159" s="41"/>
      <c r="K159" s="41"/>
      <c r="L159" s="41">
        <v>1000</v>
      </c>
      <c r="M159" s="41">
        <v>1</v>
      </c>
      <c r="N159" s="41"/>
      <c r="O159" s="190">
        <v>1000</v>
      </c>
      <c r="P159" s="42" t="s">
        <v>4</v>
      </c>
      <c r="Q159" s="1"/>
      <c r="R159" s="1"/>
      <c r="S159" s="1"/>
      <c r="T159" s="1"/>
      <c r="U159" s="1"/>
      <c r="V159" s="52"/>
    </row>
    <row r="160" spans="2:22" ht="15.75">
      <c r="B160" s="1"/>
      <c r="C160" s="27"/>
      <c r="D160" s="35"/>
      <c r="E160" s="1"/>
      <c r="F160" s="1"/>
      <c r="G160" s="1"/>
      <c r="H160" s="1"/>
      <c r="I160" s="40"/>
      <c r="J160" s="41"/>
      <c r="K160" s="41"/>
      <c r="L160" s="41"/>
      <c r="M160" s="41"/>
      <c r="N160" s="41"/>
      <c r="O160" s="190">
        <f>SUM(O153:O159)</f>
        <v>54929.599999999999</v>
      </c>
      <c r="P160" s="42" t="s">
        <v>4</v>
      </c>
      <c r="Q160" s="1"/>
      <c r="R160" s="1"/>
      <c r="S160" s="1"/>
      <c r="T160" s="1"/>
      <c r="U160" s="1"/>
      <c r="V160" s="52"/>
    </row>
    <row r="161" spans="2:22">
      <c r="B161" s="1"/>
      <c r="C161" s="27"/>
      <c r="D161" s="36"/>
      <c r="E161" s="1"/>
      <c r="F161" s="1"/>
      <c r="G161" s="1"/>
      <c r="H161" s="1"/>
      <c r="I161" s="84"/>
      <c r="J161" s="44"/>
      <c r="K161" s="44"/>
      <c r="L161" s="44"/>
      <c r="M161" s="44"/>
      <c r="N161" s="44"/>
      <c r="O161" s="147">
        <v>55000</v>
      </c>
      <c r="P161" s="45" t="s">
        <v>4</v>
      </c>
      <c r="Q161" s="54"/>
      <c r="R161" s="54"/>
      <c r="S161" s="54"/>
      <c r="T161" s="54"/>
      <c r="U161" s="54"/>
      <c r="V161" s="55"/>
    </row>
    <row r="162" spans="2:22" ht="15.75">
      <c r="B162" s="1"/>
      <c r="C162" s="27"/>
      <c r="D162" s="35"/>
      <c r="E162" s="1"/>
      <c r="F162" s="1"/>
      <c r="G162" s="1"/>
      <c r="H162" s="1"/>
      <c r="I162" s="1"/>
      <c r="J162" s="1"/>
      <c r="K162" s="27"/>
      <c r="L162" s="35"/>
      <c r="M162" s="1"/>
      <c r="N162" s="1"/>
    </row>
    <row r="163" spans="2:22">
      <c r="B163" s="1"/>
      <c r="C163" s="27"/>
      <c r="D163" s="36"/>
      <c r="E163" s="1"/>
      <c r="F163" s="1"/>
      <c r="G163" s="1"/>
      <c r="H163" s="1"/>
      <c r="I163" s="1"/>
      <c r="J163" s="1"/>
      <c r="K163" s="27"/>
      <c r="L163" s="36"/>
      <c r="M163" s="1"/>
      <c r="N163" s="1"/>
    </row>
    <row r="164" spans="2:22" ht="15.75">
      <c r="B164" s="1"/>
      <c r="C164" s="27"/>
      <c r="D164" s="35"/>
      <c r="E164" s="1"/>
      <c r="F164" s="1"/>
      <c r="G164" s="1"/>
      <c r="H164" s="1"/>
      <c r="I164" s="1"/>
      <c r="J164" s="1"/>
      <c r="K164" s="27"/>
      <c r="L164" s="35"/>
      <c r="M164" s="1"/>
      <c r="N164" s="1"/>
    </row>
    <row r="165" spans="2:22">
      <c r="B165" s="1"/>
      <c r="C165" s="27"/>
      <c r="D165" s="36"/>
      <c r="E165" s="1"/>
      <c r="F165" s="1"/>
      <c r="G165" s="1"/>
      <c r="H165" s="1"/>
      <c r="I165" s="1"/>
      <c r="J165" s="1"/>
      <c r="K165" s="27"/>
      <c r="L165" s="36"/>
      <c r="M165" s="1"/>
      <c r="N165" s="1"/>
    </row>
    <row r="166" spans="2:22" ht="15.75">
      <c r="B166" s="1"/>
      <c r="C166" s="34"/>
      <c r="D166" s="35"/>
      <c r="E166" s="1"/>
      <c r="F166" s="1"/>
      <c r="G166" s="1"/>
      <c r="H166" s="1"/>
      <c r="I166" s="1"/>
      <c r="J166" s="1"/>
      <c r="K166" s="27"/>
      <c r="L166" s="36"/>
      <c r="M166" s="1"/>
      <c r="N166" s="1"/>
    </row>
    <row r="167" spans="2:22" ht="15.75">
      <c r="B167" s="1"/>
      <c r="C167" s="27"/>
      <c r="D167" s="35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2:22">
      <c r="B168" s="1"/>
      <c r="C168" s="27"/>
      <c r="D168" s="36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2:22" ht="15.75">
      <c r="B169" s="1"/>
      <c r="C169" s="34"/>
      <c r="D169" s="35"/>
      <c r="E169" s="1"/>
      <c r="F169" s="1"/>
      <c r="G169" s="1"/>
    </row>
    <row r="170" spans="2:22" ht="15.75">
      <c r="B170" s="1"/>
      <c r="C170" s="27"/>
      <c r="D170" s="35"/>
      <c r="E170" s="1"/>
      <c r="F170" s="1"/>
      <c r="G170" s="1"/>
    </row>
    <row r="171" spans="2:22">
      <c r="B171" s="1"/>
      <c r="C171" s="27"/>
      <c r="D171" s="36"/>
      <c r="E171" s="1"/>
      <c r="F171" s="1"/>
      <c r="G171" s="1"/>
    </row>
    <row r="172" spans="2:22">
      <c r="B172" s="1"/>
      <c r="C172" s="27"/>
      <c r="D172" s="36"/>
      <c r="E172" s="1"/>
      <c r="F172" s="1"/>
      <c r="G172" s="1"/>
    </row>
    <row r="173" spans="2:22" ht="15.75">
      <c r="B173" s="1"/>
      <c r="C173" s="27"/>
      <c r="D173" s="35"/>
      <c r="E173" s="1"/>
      <c r="F173" s="1"/>
      <c r="G173" s="1"/>
    </row>
    <row r="174" spans="2:22">
      <c r="B174" s="1"/>
      <c r="C174" s="27"/>
      <c r="D174" s="36"/>
      <c r="E174" s="1"/>
      <c r="F174" s="1"/>
      <c r="G174" s="1"/>
    </row>
    <row r="175" spans="2:22" ht="15.75">
      <c r="B175" s="1"/>
      <c r="C175" s="27"/>
      <c r="D175" s="35"/>
      <c r="E175" s="1"/>
      <c r="F175" s="1"/>
      <c r="G175" s="1"/>
    </row>
    <row r="176" spans="2:22">
      <c r="B176" s="1"/>
      <c r="C176" s="27"/>
      <c r="D176" s="36"/>
      <c r="E176" s="1"/>
      <c r="F176" s="1"/>
      <c r="G176" s="1"/>
    </row>
    <row r="177" spans="2:7">
      <c r="B177" s="1"/>
      <c r="C177" s="27"/>
      <c r="D177" s="36"/>
      <c r="E177" s="1"/>
      <c r="F177" s="1"/>
      <c r="G177" s="1"/>
    </row>
    <row r="178" spans="2:7" ht="15.75">
      <c r="B178" s="1"/>
      <c r="C178" s="27"/>
      <c r="D178" s="35"/>
      <c r="E178" s="1"/>
      <c r="F178" s="1"/>
      <c r="G178" s="1"/>
    </row>
    <row r="179" spans="2:7">
      <c r="B179" s="1"/>
      <c r="C179" s="27"/>
      <c r="D179" s="36"/>
      <c r="E179" s="1"/>
      <c r="F179" s="1"/>
      <c r="G179" s="1"/>
    </row>
    <row r="180" spans="2:7" ht="15.75">
      <c r="B180" s="1"/>
      <c r="C180" s="27"/>
      <c r="D180" s="35"/>
      <c r="E180" s="1"/>
      <c r="F180" s="1"/>
      <c r="G180" s="1"/>
    </row>
    <row r="181" spans="2:7">
      <c r="B181" s="1"/>
      <c r="C181" s="27"/>
      <c r="D181" s="36"/>
      <c r="E181" s="1"/>
      <c r="F181" s="1"/>
      <c r="G181" s="1"/>
    </row>
    <row r="182" spans="2:7">
      <c r="B182" s="1"/>
      <c r="C182" s="27"/>
      <c r="D182" s="36"/>
      <c r="E182" s="1"/>
      <c r="F182" s="1"/>
      <c r="G182" s="1"/>
    </row>
    <row r="183" spans="2:7" ht="15.75">
      <c r="B183" s="1"/>
      <c r="C183" s="27"/>
      <c r="D183" s="35"/>
      <c r="E183" s="1"/>
      <c r="F183" s="1"/>
      <c r="G183" s="1"/>
    </row>
    <row r="184" spans="2:7">
      <c r="B184" s="1"/>
      <c r="C184" s="27"/>
      <c r="D184" s="36"/>
      <c r="E184" s="1"/>
      <c r="F184" s="1"/>
      <c r="G184" s="1"/>
    </row>
    <row r="185" spans="2:7">
      <c r="B185" s="1"/>
      <c r="C185" s="27"/>
      <c r="D185" s="36"/>
      <c r="E185" s="1"/>
      <c r="F185" s="1"/>
      <c r="G185" s="1"/>
    </row>
    <row r="186" spans="2:7" ht="15.75">
      <c r="B186" s="1"/>
      <c r="C186" s="27"/>
      <c r="D186" s="35"/>
      <c r="E186" s="1"/>
      <c r="F186" s="1"/>
      <c r="G186" s="1"/>
    </row>
    <row r="187" spans="2:7">
      <c r="B187" s="1"/>
      <c r="C187" s="27"/>
      <c r="D187" s="36"/>
      <c r="E187" s="1"/>
      <c r="F187" s="1"/>
      <c r="G187" s="1"/>
    </row>
    <row r="188" spans="2:7">
      <c r="B188" s="1"/>
      <c r="C188" s="27"/>
      <c r="D188" s="36"/>
      <c r="E188" s="1"/>
      <c r="F188" s="1"/>
      <c r="G188" s="1"/>
    </row>
    <row r="189" spans="2:7" ht="15.75">
      <c r="B189" s="1"/>
      <c r="C189" s="27"/>
      <c r="D189" s="35"/>
      <c r="E189" s="1"/>
      <c r="F189" s="1"/>
      <c r="G189" s="1"/>
    </row>
    <row r="190" spans="2:7">
      <c r="B190" s="1"/>
      <c r="C190" s="27"/>
      <c r="D190" s="36"/>
      <c r="E190" s="1"/>
      <c r="F190" s="1"/>
      <c r="G190" s="1"/>
    </row>
    <row r="191" spans="2:7" ht="15.75">
      <c r="B191" s="1"/>
      <c r="C191" s="34"/>
      <c r="D191" s="35"/>
      <c r="E191" s="1"/>
      <c r="F191" s="1"/>
      <c r="G191" s="1"/>
    </row>
    <row r="192" spans="2:7" ht="15.75">
      <c r="B192" s="1"/>
      <c r="C192" s="27"/>
      <c r="D192" s="35"/>
      <c r="E192" s="1"/>
      <c r="F192" s="1"/>
      <c r="G192" s="1"/>
    </row>
    <row r="193" spans="2:7">
      <c r="B193" s="1"/>
      <c r="C193" s="27"/>
      <c r="D193" s="36"/>
      <c r="E193" s="1"/>
      <c r="F193" s="1"/>
      <c r="G193" s="1"/>
    </row>
    <row r="194" spans="2:7" ht="15.75">
      <c r="B194" s="1"/>
      <c r="C194" s="27"/>
      <c r="D194" s="35"/>
      <c r="E194" s="1"/>
      <c r="F194" s="1"/>
      <c r="G194" s="1"/>
    </row>
    <row r="195" spans="2:7">
      <c r="B195" s="1"/>
      <c r="C195" s="27"/>
      <c r="D195" s="36"/>
      <c r="E195" s="1"/>
      <c r="F195" s="1"/>
      <c r="G195" s="1"/>
    </row>
    <row r="196" spans="2:7" ht="15.75">
      <c r="B196" s="1"/>
      <c r="C196" s="27"/>
      <c r="D196" s="35"/>
      <c r="E196" s="1"/>
      <c r="F196" s="1"/>
      <c r="G196" s="1"/>
    </row>
    <row r="197" spans="2:7">
      <c r="B197" s="1"/>
      <c r="C197" s="27"/>
      <c r="D197" s="36"/>
      <c r="E197" s="1"/>
      <c r="F197" s="1"/>
      <c r="G197" s="1"/>
    </row>
    <row r="198" spans="2:7" ht="15.75">
      <c r="B198" s="1"/>
      <c r="C198" s="27"/>
      <c r="D198" s="35"/>
      <c r="E198" s="1"/>
      <c r="F198" s="1"/>
      <c r="G198" s="1"/>
    </row>
    <row r="199" spans="2:7">
      <c r="B199" s="1"/>
      <c r="C199" s="27"/>
      <c r="D199" s="36"/>
      <c r="E199" s="1"/>
      <c r="F199" s="1"/>
      <c r="G199" s="1"/>
    </row>
    <row r="200" spans="2:7" ht="15.75">
      <c r="B200" s="1"/>
      <c r="C200" s="27"/>
      <c r="D200" s="35"/>
      <c r="E200" s="1"/>
      <c r="F200" s="1"/>
      <c r="G200" s="1"/>
    </row>
    <row r="201" spans="2:7">
      <c r="B201" s="1"/>
      <c r="C201" s="27"/>
      <c r="D201" s="36"/>
      <c r="E201" s="1"/>
      <c r="F201" s="1"/>
      <c r="G201" s="1"/>
    </row>
    <row r="202" spans="2:7">
      <c r="B202" s="1"/>
      <c r="C202" s="1"/>
      <c r="D202" s="1"/>
      <c r="E202" s="1"/>
      <c r="F202" s="1"/>
      <c r="G202" s="1"/>
    </row>
    <row r="203" spans="2:7">
      <c r="B203" s="1"/>
      <c r="C203" s="1"/>
      <c r="D203" s="1"/>
      <c r="E203" s="1"/>
      <c r="F203" s="1"/>
      <c r="G203" s="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3"/>
  <sheetViews>
    <sheetView topLeftCell="A49" zoomScale="90" zoomScaleNormal="90" workbookViewId="0">
      <selection activeCell="H60" sqref="H60"/>
    </sheetView>
  </sheetViews>
  <sheetFormatPr defaultRowHeight="12.75"/>
  <cols>
    <col min="1" max="1" width="31.85546875" customWidth="1"/>
    <col min="2" max="2" width="22" customWidth="1"/>
    <col min="3" max="3" width="10.5703125" customWidth="1"/>
    <col min="4" max="4" width="8.7109375" customWidth="1"/>
    <col min="6" max="6" width="10" customWidth="1"/>
    <col min="8" max="8" width="10" bestFit="1" customWidth="1"/>
  </cols>
  <sheetData>
    <row r="2" spans="1:7">
      <c r="A2" s="29"/>
      <c r="B2" s="29"/>
      <c r="C2" s="29"/>
      <c r="D2" s="29"/>
      <c r="E2" s="29"/>
      <c r="F2" s="29"/>
      <c r="G2" s="29"/>
    </row>
    <row r="3" spans="1:7">
      <c r="A3" s="221" t="s">
        <v>785</v>
      </c>
      <c r="C3" s="30"/>
      <c r="D3" s="30"/>
      <c r="E3" s="30"/>
      <c r="F3" s="30"/>
      <c r="G3" s="30"/>
    </row>
    <row r="4" spans="1:7">
      <c r="A4" s="30"/>
      <c r="B4" s="30" t="s">
        <v>262</v>
      </c>
      <c r="C4" s="30"/>
      <c r="D4" s="30"/>
      <c r="E4" s="30"/>
      <c r="F4" s="30"/>
      <c r="G4" s="30"/>
    </row>
    <row r="5" spans="1:7" ht="25.5">
      <c r="A5" s="30"/>
      <c r="B5" s="30" t="s">
        <v>24</v>
      </c>
      <c r="C5" s="31" t="s">
        <v>270</v>
      </c>
      <c r="D5" s="30" t="s">
        <v>268</v>
      </c>
      <c r="E5" s="30" t="s">
        <v>278</v>
      </c>
      <c r="F5" s="30" t="s">
        <v>303</v>
      </c>
      <c r="G5" s="30"/>
    </row>
    <row r="6" spans="1:7">
      <c r="A6" s="30"/>
      <c r="B6" s="30"/>
      <c r="C6" s="30"/>
      <c r="D6" s="30"/>
      <c r="E6" s="30"/>
      <c r="F6" s="30"/>
      <c r="G6" s="30"/>
    </row>
    <row r="7" spans="1:7">
      <c r="A7" s="30"/>
      <c r="B7" s="30"/>
      <c r="C7" s="30"/>
      <c r="D7" s="30"/>
      <c r="E7" s="30"/>
      <c r="F7" s="30"/>
      <c r="G7" s="30"/>
    </row>
    <row r="8" spans="1:7">
      <c r="A8" s="30" t="s">
        <v>263</v>
      </c>
      <c r="B8" s="30" t="s">
        <v>264</v>
      </c>
      <c r="C8" s="30"/>
      <c r="D8" s="30">
        <v>8</v>
      </c>
      <c r="E8" s="30">
        <v>3.5</v>
      </c>
      <c r="F8" s="30">
        <f>D8*2</f>
        <v>16</v>
      </c>
      <c r="G8" s="30"/>
    </row>
    <row r="9" spans="1:7">
      <c r="A9" s="30" t="s">
        <v>263</v>
      </c>
      <c r="B9" s="30" t="s">
        <v>265</v>
      </c>
      <c r="C9" s="30"/>
      <c r="D9" s="30">
        <v>8</v>
      </c>
      <c r="E9" s="30">
        <v>3.5</v>
      </c>
      <c r="F9" s="30">
        <f t="shared" ref="F9:F48" si="0">D9*2</f>
        <v>16</v>
      </c>
      <c r="G9" s="30"/>
    </row>
    <row r="10" spans="1:7">
      <c r="A10" s="30" t="s">
        <v>263</v>
      </c>
      <c r="B10" s="30" t="s">
        <v>266</v>
      </c>
      <c r="C10" s="30"/>
      <c r="D10" s="30">
        <v>8</v>
      </c>
      <c r="E10" s="30">
        <v>3.5</v>
      </c>
      <c r="F10" s="30">
        <f t="shared" si="0"/>
        <v>16</v>
      </c>
      <c r="G10" s="30"/>
    </row>
    <row r="11" spans="1:7">
      <c r="A11" s="30" t="s">
        <v>263</v>
      </c>
      <c r="B11" s="30" t="s">
        <v>267</v>
      </c>
      <c r="C11" s="30"/>
      <c r="D11" s="30">
        <v>8</v>
      </c>
      <c r="E11" s="30">
        <v>3.5</v>
      </c>
      <c r="F11" s="30">
        <f t="shared" si="0"/>
        <v>16</v>
      </c>
      <c r="G11" s="30"/>
    </row>
    <row r="12" spans="1:7">
      <c r="A12" s="30"/>
      <c r="B12" s="30"/>
      <c r="C12" s="30"/>
      <c r="D12" s="30"/>
      <c r="E12" s="30"/>
      <c r="F12" s="30"/>
      <c r="G12" s="30"/>
    </row>
    <row r="13" spans="1:7">
      <c r="A13" s="30" t="s">
        <v>263</v>
      </c>
      <c r="B13" s="30" t="s">
        <v>269</v>
      </c>
      <c r="C13" s="30">
        <v>1</v>
      </c>
      <c r="D13" s="30">
        <f>8+6</f>
        <v>14</v>
      </c>
      <c r="E13" s="30">
        <v>3.5</v>
      </c>
      <c r="F13" s="30">
        <f t="shared" si="0"/>
        <v>28</v>
      </c>
      <c r="G13" s="30"/>
    </row>
    <row r="14" spans="1:7">
      <c r="A14" s="30" t="s">
        <v>263</v>
      </c>
      <c r="B14" s="30" t="s">
        <v>271</v>
      </c>
      <c r="C14" s="30"/>
      <c r="D14" s="30">
        <v>8</v>
      </c>
      <c r="E14" s="30">
        <v>3.5</v>
      </c>
      <c r="F14" s="30">
        <f t="shared" si="0"/>
        <v>16</v>
      </c>
      <c r="G14" s="30"/>
    </row>
    <row r="15" spans="1:7">
      <c r="A15" s="30" t="s">
        <v>263</v>
      </c>
      <c r="B15" s="30" t="s">
        <v>272</v>
      </c>
      <c r="C15" s="30"/>
      <c r="D15" s="30">
        <v>8</v>
      </c>
      <c r="E15" s="30">
        <v>3.5</v>
      </c>
      <c r="F15" s="30">
        <f t="shared" si="0"/>
        <v>16</v>
      </c>
      <c r="G15" s="30"/>
    </row>
    <row r="16" spans="1:7">
      <c r="A16" s="30" t="s">
        <v>263</v>
      </c>
      <c r="B16" s="30" t="s">
        <v>273</v>
      </c>
      <c r="C16" s="30"/>
      <c r="D16" s="30">
        <v>8</v>
      </c>
      <c r="E16" s="30">
        <v>3.5</v>
      </c>
      <c r="F16" s="30">
        <f t="shared" si="0"/>
        <v>16</v>
      </c>
      <c r="G16" s="30"/>
    </row>
    <row r="17" spans="1:7">
      <c r="A17" s="30"/>
      <c r="B17" s="30"/>
      <c r="C17" s="30"/>
      <c r="D17" s="30"/>
      <c r="E17" s="30"/>
      <c r="F17" s="30">
        <f t="shared" si="0"/>
        <v>0</v>
      </c>
      <c r="G17" s="30"/>
    </row>
    <row r="18" spans="1:7">
      <c r="A18" s="30" t="s">
        <v>274</v>
      </c>
      <c r="B18" s="30" t="s">
        <v>275</v>
      </c>
      <c r="C18" s="30"/>
      <c r="D18" s="30">
        <f>8+3</f>
        <v>11</v>
      </c>
      <c r="E18" s="30">
        <v>3.5</v>
      </c>
      <c r="F18" s="30">
        <f t="shared" si="0"/>
        <v>22</v>
      </c>
      <c r="G18" s="30"/>
    </row>
    <row r="19" spans="1:7">
      <c r="A19" s="30" t="s">
        <v>274</v>
      </c>
      <c r="B19" s="30" t="s">
        <v>276</v>
      </c>
      <c r="C19" s="30">
        <v>1</v>
      </c>
      <c r="D19" s="30">
        <v>8</v>
      </c>
      <c r="E19" s="30">
        <v>3.5</v>
      </c>
      <c r="F19" s="30">
        <f t="shared" si="0"/>
        <v>16</v>
      </c>
      <c r="G19" s="30"/>
    </row>
    <row r="20" spans="1:7">
      <c r="A20" s="30" t="s">
        <v>274</v>
      </c>
      <c r="B20" s="30" t="s">
        <v>277</v>
      </c>
      <c r="C20" s="30">
        <v>1</v>
      </c>
      <c r="D20" s="30">
        <v>6</v>
      </c>
      <c r="E20" s="30">
        <v>1</v>
      </c>
      <c r="F20" s="30">
        <f t="shared" si="0"/>
        <v>12</v>
      </c>
      <c r="G20" s="30"/>
    </row>
    <row r="21" spans="1:7">
      <c r="A21" s="30"/>
      <c r="B21" s="30"/>
      <c r="C21" s="30"/>
      <c r="D21" s="30"/>
      <c r="E21" s="30"/>
      <c r="F21" s="30"/>
      <c r="G21" s="30"/>
    </row>
    <row r="22" spans="1:7">
      <c r="A22" s="30" t="s">
        <v>279</v>
      </c>
      <c r="B22" s="30" t="s">
        <v>280</v>
      </c>
      <c r="C22" s="30">
        <v>1</v>
      </c>
      <c r="D22" s="30">
        <f>8+5.2</f>
        <v>13.2</v>
      </c>
      <c r="E22" s="30">
        <v>3.5</v>
      </c>
      <c r="F22" s="30">
        <f t="shared" si="0"/>
        <v>26.4</v>
      </c>
      <c r="G22" s="30"/>
    </row>
    <row r="23" spans="1:7">
      <c r="A23" s="30" t="s">
        <v>279</v>
      </c>
      <c r="B23" s="30" t="s">
        <v>281</v>
      </c>
      <c r="C23" s="30"/>
      <c r="D23" s="30">
        <v>8</v>
      </c>
      <c r="E23" s="30">
        <v>3.5</v>
      </c>
      <c r="F23" s="30">
        <f t="shared" si="0"/>
        <v>16</v>
      </c>
      <c r="G23" s="30"/>
    </row>
    <row r="24" spans="1:7">
      <c r="A24" s="30" t="s">
        <v>279</v>
      </c>
      <c r="B24" s="30" t="s">
        <v>282</v>
      </c>
      <c r="C24" s="30"/>
      <c r="D24" s="30">
        <v>8</v>
      </c>
      <c r="E24" s="30">
        <v>3.5</v>
      </c>
      <c r="F24" s="30">
        <f t="shared" si="0"/>
        <v>16</v>
      </c>
      <c r="G24" s="30"/>
    </row>
    <row r="25" spans="1:7">
      <c r="A25" s="30" t="s">
        <v>279</v>
      </c>
      <c r="B25" s="30" t="s">
        <v>283</v>
      </c>
      <c r="C25" s="30"/>
      <c r="D25" s="30">
        <v>8</v>
      </c>
      <c r="E25" s="30">
        <v>3.5</v>
      </c>
      <c r="F25" s="30">
        <f t="shared" si="0"/>
        <v>16</v>
      </c>
      <c r="G25" s="30"/>
    </row>
    <row r="26" spans="1:7">
      <c r="A26" s="30" t="s">
        <v>279</v>
      </c>
      <c r="B26" s="30" t="s">
        <v>284</v>
      </c>
      <c r="C26" s="30"/>
      <c r="D26" s="30">
        <v>8</v>
      </c>
      <c r="E26" s="30">
        <v>3.5</v>
      </c>
      <c r="F26" s="30">
        <f t="shared" si="0"/>
        <v>16</v>
      </c>
      <c r="G26" s="30"/>
    </row>
    <row r="27" spans="1:7">
      <c r="A27" s="30" t="s">
        <v>279</v>
      </c>
      <c r="B27" s="30" t="s">
        <v>283</v>
      </c>
      <c r="C27" s="30"/>
      <c r="D27" s="30">
        <v>8</v>
      </c>
      <c r="E27" s="30">
        <v>3.5</v>
      </c>
      <c r="F27" s="30">
        <f t="shared" si="0"/>
        <v>16</v>
      </c>
      <c r="G27" s="30"/>
    </row>
    <row r="28" spans="1:7">
      <c r="A28" s="30" t="s">
        <v>279</v>
      </c>
      <c r="B28" s="30" t="s">
        <v>285</v>
      </c>
      <c r="C28" s="30"/>
      <c r="D28" s="30">
        <v>8</v>
      </c>
      <c r="E28" s="30">
        <v>3.5</v>
      </c>
      <c r="F28" s="30">
        <f t="shared" si="0"/>
        <v>16</v>
      </c>
      <c r="G28" s="30"/>
    </row>
    <row r="29" spans="1:7">
      <c r="A29" s="30"/>
      <c r="B29" s="30"/>
      <c r="C29" s="30"/>
      <c r="D29" s="30"/>
      <c r="E29" s="30"/>
      <c r="F29" s="30"/>
      <c r="G29" s="30"/>
    </row>
    <row r="30" spans="1:7">
      <c r="A30" s="30" t="s">
        <v>286</v>
      </c>
      <c r="B30" s="30" t="s">
        <v>287</v>
      </c>
      <c r="C30" s="30"/>
      <c r="D30" s="30"/>
      <c r="E30" s="30"/>
      <c r="F30" s="30"/>
      <c r="G30" s="30"/>
    </row>
    <row r="31" spans="1:7">
      <c r="A31" s="30" t="s">
        <v>286</v>
      </c>
      <c r="B31" s="30" t="s">
        <v>288</v>
      </c>
      <c r="C31" s="30"/>
      <c r="D31" s="30"/>
      <c r="E31" s="30"/>
      <c r="F31" s="30"/>
      <c r="G31" s="30"/>
    </row>
    <row r="32" spans="1:7">
      <c r="A32" s="30" t="s">
        <v>286</v>
      </c>
      <c r="B32" s="30" t="s">
        <v>289</v>
      </c>
      <c r="C32" s="30"/>
      <c r="D32" s="30">
        <f>8.5+5.4</f>
        <v>13.9</v>
      </c>
      <c r="E32" s="30">
        <v>3.5</v>
      </c>
      <c r="F32" s="30">
        <f t="shared" si="0"/>
        <v>27.8</v>
      </c>
      <c r="G32" s="30"/>
    </row>
    <row r="33" spans="1:7">
      <c r="A33" s="30" t="s">
        <v>286</v>
      </c>
      <c r="B33" s="30" t="s">
        <v>290</v>
      </c>
      <c r="C33" s="30"/>
      <c r="D33" s="30">
        <v>6</v>
      </c>
      <c r="E33" s="30">
        <v>3.5</v>
      </c>
      <c r="F33" s="30">
        <f t="shared" si="0"/>
        <v>12</v>
      </c>
      <c r="G33" s="30"/>
    </row>
    <row r="34" spans="1:7">
      <c r="A34" s="30"/>
      <c r="B34" s="30"/>
      <c r="C34" s="30"/>
      <c r="D34" s="30"/>
      <c r="E34" s="30"/>
      <c r="F34" s="30"/>
      <c r="G34" s="30"/>
    </row>
    <row r="35" spans="1:7">
      <c r="A35" s="30" t="s">
        <v>286</v>
      </c>
      <c r="B35" s="30" t="s">
        <v>291</v>
      </c>
      <c r="C35" s="30"/>
      <c r="D35" s="30">
        <v>8</v>
      </c>
      <c r="E35" s="30">
        <v>3.5</v>
      </c>
      <c r="F35" s="30">
        <f t="shared" si="0"/>
        <v>16</v>
      </c>
      <c r="G35" s="30"/>
    </row>
    <row r="36" spans="1:7">
      <c r="A36" s="30" t="s">
        <v>286</v>
      </c>
      <c r="B36" s="30" t="s">
        <v>292</v>
      </c>
      <c r="C36" s="30"/>
      <c r="D36" s="30">
        <v>8</v>
      </c>
      <c r="E36" s="30">
        <v>3.5</v>
      </c>
      <c r="F36" s="30">
        <f t="shared" si="0"/>
        <v>16</v>
      </c>
      <c r="G36" s="30"/>
    </row>
    <row r="37" spans="1:7">
      <c r="A37" s="30" t="s">
        <v>286</v>
      </c>
      <c r="B37" s="30" t="s">
        <v>293</v>
      </c>
      <c r="C37" s="30"/>
      <c r="D37" s="30">
        <v>8</v>
      </c>
      <c r="E37" s="30">
        <v>3.5</v>
      </c>
      <c r="F37" s="30">
        <f t="shared" si="0"/>
        <v>16</v>
      </c>
      <c r="G37" s="30"/>
    </row>
    <row r="38" spans="1:7">
      <c r="A38" s="30"/>
      <c r="B38" s="30"/>
      <c r="C38" s="30"/>
      <c r="D38" s="30"/>
      <c r="E38" s="30"/>
      <c r="F38" s="30">
        <f t="shared" si="0"/>
        <v>0</v>
      </c>
      <c r="G38" s="30"/>
    </row>
    <row r="39" spans="1:7">
      <c r="A39" s="30" t="s">
        <v>286</v>
      </c>
      <c r="B39" s="30" t="s">
        <v>294</v>
      </c>
      <c r="C39" s="30"/>
      <c r="D39" s="30">
        <v>8</v>
      </c>
      <c r="E39" s="30">
        <v>3.5</v>
      </c>
      <c r="F39" s="30">
        <f t="shared" si="0"/>
        <v>16</v>
      </c>
      <c r="G39" s="30"/>
    </row>
    <row r="40" spans="1:7">
      <c r="A40" s="30" t="s">
        <v>286</v>
      </c>
      <c r="B40" s="30" t="s">
        <v>295</v>
      </c>
      <c r="C40" s="30"/>
      <c r="D40" s="30">
        <v>8</v>
      </c>
      <c r="E40" s="30">
        <v>3.5</v>
      </c>
      <c r="F40" s="30">
        <f t="shared" si="0"/>
        <v>16</v>
      </c>
      <c r="G40" s="30"/>
    </row>
    <row r="41" spans="1:7">
      <c r="A41" s="30" t="s">
        <v>286</v>
      </c>
      <c r="B41" s="30" t="s">
        <v>296</v>
      </c>
      <c r="C41" s="30"/>
      <c r="D41" s="30">
        <v>8</v>
      </c>
      <c r="E41" s="30">
        <v>3.5</v>
      </c>
      <c r="F41" s="30">
        <f t="shared" si="0"/>
        <v>16</v>
      </c>
      <c r="G41" s="30"/>
    </row>
    <row r="42" spans="1:7">
      <c r="A42" s="30" t="s">
        <v>286</v>
      </c>
      <c r="B42" s="30" t="s">
        <v>297</v>
      </c>
      <c r="C42" s="30"/>
      <c r="D42" s="30">
        <v>8</v>
      </c>
      <c r="E42" s="30">
        <v>3.5</v>
      </c>
      <c r="F42" s="30">
        <f t="shared" si="0"/>
        <v>16</v>
      </c>
      <c r="G42" s="30"/>
    </row>
    <row r="43" spans="1:7">
      <c r="A43" s="30"/>
      <c r="B43" s="30"/>
      <c r="C43" s="30"/>
      <c r="D43" s="30"/>
      <c r="E43" s="30"/>
      <c r="F43" s="30">
        <f t="shared" si="0"/>
        <v>0</v>
      </c>
      <c r="G43" s="30"/>
    </row>
    <row r="44" spans="1:7">
      <c r="A44" s="30" t="s">
        <v>286</v>
      </c>
      <c r="B44" s="30" t="s">
        <v>298</v>
      </c>
      <c r="C44" s="30"/>
      <c r="D44" s="30">
        <v>8</v>
      </c>
      <c r="E44" s="30">
        <v>3.5</v>
      </c>
      <c r="F44" s="30">
        <f t="shared" si="0"/>
        <v>16</v>
      </c>
      <c r="G44" s="30"/>
    </row>
    <row r="45" spans="1:7">
      <c r="A45" s="30" t="s">
        <v>286</v>
      </c>
      <c r="B45" s="30" t="s">
        <v>299</v>
      </c>
      <c r="C45" s="30"/>
      <c r="D45" s="30">
        <v>8</v>
      </c>
      <c r="E45" s="30">
        <v>3.5</v>
      </c>
      <c r="F45" s="30">
        <f t="shared" si="0"/>
        <v>16</v>
      </c>
      <c r="G45" s="30"/>
    </row>
    <row r="46" spans="1:7">
      <c r="A46" s="30" t="s">
        <v>286</v>
      </c>
      <c r="B46" s="30" t="s">
        <v>300</v>
      </c>
      <c r="C46" s="30"/>
      <c r="D46" s="30">
        <v>8</v>
      </c>
      <c r="E46" s="30">
        <v>3.5</v>
      </c>
      <c r="F46" s="30">
        <f t="shared" si="0"/>
        <v>16</v>
      </c>
      <c r="G46" s="30"/>
    </row>
    <row r="47" spans="1:7">
      <c r="A47" s="30" t="s">
        <v>286</v>
      </c>
      <c r="B47" s="30" t="s">
        <v>301</v>
      </c>
      <c r="C47" s="30"/>
      <c r="D47" s="30">
        <v>8</v>
      </c>
      <c r="E47" s="30">
        <v>3.5</v>
      </c>
      <c r="F47" s="30">
        <f t="shared" si="0"/>
        <v>16</v>
      </c>
      <c r="G47" s="30"/>
    </row>
    <row r="48" spans="1:7">
      <c r="A48" s="30" t="s">
        <v>286</v>
      </c>
      <c r="B48" s="30" t="s">
        <v>302</v>
      </c>
      <c r="C48" s="30"/>
      <c r="D48" s="30">
        <v>8</v>
      </c>
      <c r="E48" s="30">
        <v>3.5</v>
      </c>
      <c r="F48" s="30">
        <f t="shared" si="0"/>
        <v>16</v>
      </c>
      <c r="G48" s="30"/>
    </row>
    <row r="49" spans="1:11">
      <c r="A49" s="30"/>
      <c r="B49" s="30"/>
      <c r="C49" s="30"/>
      <c r="D49" s="30"/>
      <c r="E49" s="30"/>
      <c r="F49" s="30"/>
      <c r="G49" s="30"/>
    </row>
    <row r="50" spans="1:11">
      <c r="A50" s="30"/>
      <c r="B50" s="59" t="s">
        <v>502</v>
      </c>
      <c r="C50" s="30"/>
      <c r="D50" s="30"/>
      <c r="E50" s="30"/>
      <c r="F50" s="30"/>
      <c r="G50" s="30"/>
    </row>
    <row r="51" spans="1:11" ht="25.5">
      <c r="A51" s="30"/>
      <c r="B51" s="30" t="s">
        <v>24</v>
      </c>
      <c r="C51" s="31" t="s">
        <v>270</v>
      </c>
      <c r="D51" s="30" t="s">
        <v>268</v>
      </c>
      <c r="E51" s="30" t="s">
        <v>278</v>
      </c>
      <c r="F51" s="30"/>
      <c r="G51" s="30"/>
    </row>
    <row r="52" spans="1:11">
      <c r="A52" s="30" t="s">
        <v>286</v>
      </c>
      <c r="B52" s="30" t="s">
        <v>309</v>
      </c>
      <c r="C52" s="30">
        <v>2</v>
      </c>
      <c r="D52" s="30">
        <v>7</v>
      </c>
      <c r="E52" s="30">
        <v>3.5</v>
      </c>
      <c r="F52" s="30">
        <f>D52*2</f>
        <v>14</v>
      </c>
      <c r="G52" s="30"/>
    </row>
    <row r="53" spans="1:11">
      <c r="A53" s="30" t="s">
        <v>286</v>
      </c>
      <c r="B53" s="30" t="s">
        <v>310</v>
      </c>
      <c r="C53" s="30">
        <v>1</v>
      </c>
      <c r="D53" s="30">
        <v>4.5</v>
      </c>
      <c r="E53" s="30">
        <v>3.5</v>
      </c>
      <c r="F53" s="30">
        <f t="shared" ref="F53:F59" si="1">D53*2</f>
        <v>9</v>
      </c>
      <c r="G53" s="30"/>
    </row>
    <row r="54" spans="1:11">
      <c r="A54" s="30" t="s">
        <v>286</v>
      </c>
      <c r="B54" s="30" t="s">
        <v>311</v>
      </c>
      <c r="C54" s="30">
        <v>2</v>
      </c>
      <c r="D54" s="30">
        <v>9</v>
      </c>
      <c r="E54" s="30">
        <v>3.5</v>
      </c>
      <c r="F54" s="30">
        <f t="shared" si="1"/>
        <v>18</v>
      </c>
      <c r="G54" s="30"/>
    </row>
    <row r="55" spans="1:11">
      <c r="A55" s="30" t="s">
        <v>286</v>
      </c>
      <c r="B55" s="30" t="s">
        <v>312</v>
      </c>
      <c r="C55" s="30">
        <v>1</v>
      </c>
      <c r="D55" s="30">
        <v>4.5</v>
      </c>
      <c r="E55" s="30">
        <v>3.5</v>
      </c>
      <c r="F55" s="30">
        <f t="shared" si="1"/>
        <v>9</v>
      </c>
      <c r="G55" s="30"/>
    </row>
    <row r="56" spans="1:11">
      <c r="A56" s="30" t="s">
        <v>286</v>
      </c>
      <c r="B56" s="30" t="s">
        <v>313</v>
      </c>
      <c r="C56" s="30">
        <v>1</v>
      </c>
      <c r="D56" s="30">
        <v>4.5</v>
      </c>
      <c r="E56" s="30">
        <v>3.5</v>
      </c>
      <c r="F56" s="30">
        <f t="shared" si="1"/>
        <v>9</v>
      </c>
      <c r="G56" s="30"/>
    </row>
    <row r="57" spans="1:11">
      <c r="A57" s="30" t="s">
        <v>286</v>
      </c>
      <c r="B57" s="30" t="s">
        <v>299</v>
      </c>
      <c r="C57" s="30">
        <v>1</v>
      </c>
      <c r="D57" s="30">
        <v>4.5</v>
      </c>
      <c r="E57" s="30">
        <v>3.5</v>
      </c>
      <c r="F57" s="30">
        <f t="shared" si="1"/>
        <v>9</v>
      </c>
      <c r="G57" s="30"/>
    </row>
    <row r="58" spans="1:11">
      <c r="A58" s="30" t="s">
        <v>286</v>
      </c>
      <c r="B58" s="30" t="s">
        <v>300</v>
      </c>
      <c r="C58" s="30">
        <v>1</v>
      </c>
      <c r="D58" s="30">
        <v>4.5</v>
      </c>
      <c r="E58" s="30">
        <v>3.5</v>
      </c>
      <c r="F58" s="30">
        <f t="shared" si="1"/>
        <v>9</v>
      </c>
      <c r="G58" s="30"/>
    </row>
    <row r="59" spans="1:11">
      <c r="A59" s="32" t="s">
        <v>286</v>
      </c>
      <c r="B59" s="32" t="s">
        <v>301</v>
      </c>
      <c r="C59" s="32">
        <v>2</v>
      </c>
      <c r="D59" s="32">
        <v>9</v>
      </c>
      <c r="E59" s="32">
        <v>3.5</v>
      </c>
      <c r="F59" s="30">
        <f t="shared" si="1"/>
        <v>18</v>
      </c>
      <c r="G59" s="30"/>
      <c r="J59" s="23" t="s">
        <v>703</v>
      </c>
    </row>
    <row r="60" spans="1:11">
      <c r="A60" s="30"/>
      <c r="B60" s="30"/>
      <c r="C60" s="30">
        <f>SUM(C13:C59)</f>
        <v>15</v>
      </c>
      <c r="D60" s="30">
        <f>SUM(D7:D59)</f>
        <v>319.60000000000002</v>
      </c>
      <c r="E60" s="30"/>
      <c r="F60" s="30"/>
      <c r="G60" s="59" t="s">
        <v>515</v>
      </c>
      <c r="H60" s="72">
        <f>D60*3.5</f>
        <v>1118.5999999999999</v>
      </c>
      <c r="J60">
        <f>D60*2</f>
        <v>639.20000000000005</v>
      </c>
      <c r="K60" s="23" t="s">
        <v>704</v>
      </c>
    </row>
    <row r="61" spans="1:11">
      <c r="A61" s="30"/>
      <c r="B61" s="30"/>
      <c r="C61" s="30"/>
      <c r="D61" s="30"/>
      <c r="E61" s="30"/>
      <c r="F61" s="30"/>
      <c r="G61" s="30"/>
      <c r="J61">
        <v>630</v>
      </c>
    </row>
    <row r="62" spans="1:11">
      <c r="A62" s="30"/>
      <c r="B62" s="30" t="s">
        <v>308</v>
      </c>
      <c r="C62" s="30"/>
      <c r="D62" s="30"/>
      <c r="E62" s="30"/>
      <c r="F62" s="30"/>
      <c r="G62" s="30"/>
    </row>
    <row r="63" spans="1:11" ht="25.5">
      <c r="A63" s="30"/>
      <c r="B63" s="30" t="s">
        <v>24</v>
      </c>
      <c r="C63" s="31" t="s">
        <v>270</v>
      </c>
      <c r="D63" s="31" t="s">
        <v>304</v>
      </c>
      <c r="E63" s="30" t="s">
        <v>268</v>
      </c>
      <c r="F63" s="30" t="s">
        <v>278</v>
      </c>
      <c r="G63" s="30"/>
    </row>
    <row r="64" spans="1:11">
      <c r="A64" s="30" t="s">
        <v>82</v>
      </c>
      <c r="B64" s="30" t="s">
        <v>306</v>
      </c>
      <c r="C64" s="30">
        <v>1</v>
      </c>
      <c r="D64" s="30">
        <v>3</v>
      </c>
      <c r="E64" s="30">
        <f>3+5.5+0.5+(1.2*3)</f>
        <v>12.6</v>
      </c>
      <c r="F64" s="30">
        <v>1.9</v>
      </c>
      <c r="G64" s="30"/>
    </row>
    <row r="65" spans="1:8">
      <c r="A65" s="30"/>
      <c r="B65" s="30" t="s">
        <v>305</v>
      </c>
      <c r="C65" s="30">
        <v>1</v>
      </c>
      <c r="D65" s="30">
        <v>3</v>
      </c>
      <c r="E65" s="30">
        <f>3+5.5+0.5+(1.2*3)</f>
        <v>12.6</v>
      </c>
      <c r="F65" s="30">
        <v>1.9</v>
      </c>
      <c r="G65" s="30"/>
    </row>
    <row r="66" spans="1:8">
      <c r="A66" s="30"/>
      <c r="B66" s="30" t="s">
        <v>307</v>
      </c>
      <c r="C66" s="30"/>
      <c r="D66" s="30">
        <v>2</v>
      </c>
      <c r="E66" s="30">
        <f>4+2.5</f>
        <v>6.5</v>
      </c>
      <c r="F66" s="30">
        <v>1.9</v>
      </c>
      <c r="G66" s="30"/>
    </row>
    <row r="67" spans="1:8">
      <c r="A67" s="30"/>
      <c r="B67" s="30"/>
      <c r="C67" s="30"/>
      <c r="D67" s="30"/>
      <c r="E67" s="30"/>
      <c r="F67" s="30"/>
      <c r="G67" s="30"/>
    </row>
    <row r="68" spans="1:8">
      <c r="A68" s="30" t="s">
        <v>274</v>
      </c>
      <c r="B68" s="30" t="s">
        <v>306</v>
      </c>
      <c r="C68" s="30">
        <v>1</v>
      </c>
      <c r="D68" s="30">
        <v>3</v>
      </c>
      <c r="E68" s="30">
        <f>3+5.5+0.5+(1.2*3)</f>
        <v>12.6</v>
      </c>
      <c r="F68" s="30">
        <v>1.9</v>
      </c>
      <c r="G68" s="30"/>
    </row>
    <row r="69" spans="1:8">
      <c r="A69" s="30"/>
      <c r="B69" s="30" t="s">
        <v>305</v>
      </c>
      <c r="C69" s="30">
        <v>1</v>
      </c>
      <c r="D69" s="30">
        <v>3</v>
      </c>
      <c r="E69" s="30">
        <f>3+5.5+0.5+(1.2*3)</f>
        <v>12.6</v>
      </c>
      <c r="F69" s="30">
        <v>1.9</v>
      </c>
      <c r="G69" s="30"/>
    </row>
    <row r="70" spans="1:8">
      <c r="A70" s="30"/>
      <c r="B70" s="30" t="s">
        <v>307</v>
      </c>
      <c r="C70" s="30"/>
      <c r="D70" s="30">
        <v>2</v>
      </c>
      <c r="E70" s="30">
        <f>4+2.5</f>
        <v>6.5</v>
      </c>
      <c r="F70" s="30">
        <v>1.9</v>
      </c>
      <c r="G70" s="30"/>
    </row>
    <row r="71" spans="1:8">
      <c r="A71" s="30"/>
      <c r="B71" s="30"/>
      <c r="C71" s="30"/>
      <c r="D71" s="30"/>
      <c r="E71" s="30"/>
      <c r="F71" s="30"/>
      <c r="G71" s="30"/>
    </row>
    <row r="72" spans="1:8">
      <c r="A72" s="30" t="s">
        <v>279</v>
      </c>
      <c r="B72" s="30" t="s">
        <v>306</v>
      </c>
      <c r="C72" s="30">
        <v>1</v>
      </c>
      <c r="D72" s="30">
        <v>3</v>
      </c>
      <c r="E72" s="30">
        <f>3+5.5+0.5+(1.2*3)</f>
        <v>12.6</v>
      </c>
      <c r="F72" s="30">
        <v>1.9</v>
      </c>
      <c r="G72" s="30"/>
    </row>
    <row r="73" spans="1:8">
      <c r="A73" s="30"/>
      <c r="B73" s="30" t="s">
        <v>305</v>
      </c>
      <c r="C73" s="30">
        <v>1</v>
      </c>
      <c r="D73" s="30">
        <v>3</v>
      </c>
      <c r="E73" s="30">
        <f>3+5.5+0.5+(1.2*3)</f>
        <v>12.6</v>
      </c>
      <c r="F73" s="30">
        <v>1.9</v>
      </c>
      <c r="G73" s="30"/>
    </row>
    <row r="74" spans="1:8">
      <c r="A74" s="30"/>
      <c r="B74" s="30" t="s">
        <v>307</v>
      </c>
      <c r="C74" s="30"/>
      <c r="D74" s="30">
        <v>2</v>
      </c>
      <c r="E74" s="30">
        <f>4+2.5</f>
        <v>6.5</v>
      </c>
      <c r="F74" s="30">
        <v>1.9</v>
      </c>
      <c r="G74" s="30"/>
    </row>
    <row r="75" spans="1:8">
      <c r="A75" s="30"/>
      <c r="B75" s="30"/>
      <c r="C75" s="30"/>
      <c r="D75" s="30"/>
      <c r="E75" s="30"/>
      <c r="F75" s="30"/>
      <c r="G75" s="30"/>
    </row>
    <row r="76" spans="1:8">
      <c r="A76" s="30" t="s">
        <v>286</v>
      </c>
      <c r="B76" s="30" t="s">
        <v>306</v>
      </c>
      <c r="C76" s="30">
        <v>1</v>
      </c>
      <c r="D76" s="30">
        <v>3</v>
      </c>
      <c r="E76" s="30">
        <f>3+5.5+0.5+(1.2*3)</f>
        <v>12.6</v>
      </c>
      <c r="F76" s="30">
        <v>1.9</v>
      </c>
      <c r="G76" s="30"/>
    </row>
    <row r="77" spans="1:8">
      <c r="A77" s="30" t="s">
        <v>286</v>
      </c>
      <c r="B77" s="30" t="s">
        <v>305</v>
      </c>
      <c r="C77" s="30">
        <v>1</v>
      </c>
      <c r="D77" s="30">
        <v>3</v>
      </c>
      <c r="E77" s="30">
        <f>3+5.5+0.5+(1.2*3)</f>
        <v>12.6</v>
      </c>
      <c r="F77" s="30">
        <v>1.9</v>
      </c>
      <c r="G77" s="30"/>
    </row>
    <row r="78" spans="1:8">
      <c r="A78" s="30" t="s">
        <v>286</v>
      </c>
      <c r="B78" s="30" t="s">
        <v>307</v>
      </c>
      <c r="C78" s="30"/>
      <c r="D78" s="30">
        <v>2</v>
      </c>
      <c r="E78" s="30">
        <f>4+2.5</f>
        <v>6.5</v>
      </c>
      <c r="F78" s="30">
        <v>1.9</v>
      </c>
      <c r="G78" s="30"/>
    </row>
    <row r="79" spans="1:8">
      <c r="A79" s="30"/>
      <c r="B79" s="30"/>
      <c r="C79" s="30"/>
      <c r="D79" s="30"/>
      <c r="E79" s="30">
        <f>SUM(E64:E78)</f>
        <v>126.8</v>
      </c>
      <c r="F79" s="30"/>
      <c r="G79" s="59" t="s">
        <v>515</v>
      </c>
      <c r="H79">
        <f>E79*1.9</f>
        <v>240.92</v>
      </c>
    </row>
    <row r="80" spans="1:8">
      <c r="A80" s="30"/>
      <c r="B80" s="30"/>
      <c r="C80" s="30">
        <f>SUM(C64:C77)</f>
        <v>8</v>
      </c>
      <c r="D80" s="30">
        <f>SUM(D64:D78)</f>
        <v>32</v>
      </c>
      <c r="E80" s="30"/>
      <c r="F80" s="30"/>
      <c r="G80" s="30"/>
    </row>
    <row r="81" spans="1:7">
      <c r="F81" s="30"/>
      <c r="G81" s="30"/>
    </row>
    <row r="82" spans="1:7">
      <c r="A82" s="23"/>
      <c r="F82" s="30"/>
      <c r="G82" s="30"/>
    </row>
    <row r="86" spans="1:7">
      <c r="A86" s="104" t="s">
        <v>786</v>
      </c>
      <c r="B86" s="23" t="s">
        <v>494</v>
      </c>
    </row>
    <row r="87" spans="1:7" ht="78.75">
      <c r="A87" s="23" t="s">
        <v>492</v>
      </c>
      <c r="B87" s="64" t="s">
        <v>496</v>
      </c>
      <c r="C87" s="80" t="s">
        <v>497</v>
      </c>
      <c r="D87" s="115"/>
      <c r="E87" s="118" t="s">
        <v>501</v>
      </c>
    </row>
    <row r="88" spans="1:7">
      <c r="A88" s="23" t="s">
        <v>493</v>
      </c>
      <c r="B88" s="40">
        <v>78</v>
      </c>
      <c r="C88" s="41">
        <v>31.5</v>
      </c>
      <c r="D88" s="116">
        <f>SUM(B88:C88)</f>
        <v>109.5</v>
      </c>
      <c r="E88" s="119">
        <v>430</v>
      </c>
    </row>
    <row r="89" spans="1:7">
      <c r="A89" s="23" t="s">
        <v>495</v>
      </c>
      <c r="B89" s="40">
        <v>78</v>
      </c>
      <c r="C89" s="41">
        <v>20</v>
      </c>
      <c r="D89" s="116">
        <f>SUM(B89:C89)</f>
        <v>98</v>
      </c>
      <c r="E89" s="120">
        <v>380</v>
      </c>
    </row>
    <row r="90" spans="1:7">
      <c r="A90" s="23" t="s">
        <v>498</v>
      </c>
      <c r="B90" s="40"/>
      <c r="C90" s="41"/>
      <c r="D90" s="116">
        <v>105</v>
      </c>
      <c r="E90" s="119">
        <v>460</v>
      </c>
    </row>
    <row r="91" spans="1:7">
      <c r="B91" s="40"/>
      <c r="C91" s="38" t="s">
        <v>499</v>
      </c>
      <c r="D91" s="116">
        <f>SUM(D88:D90)</f>
        <v>312.5</v>
      </c>
      <c r="E91" s="119">
        <f>SUM(E88:E90)</f>
        <v>1270</v>
      </c>
    </row>
    <row r="92" spans="1:7">
      <c r="B92" s="84"/>
      <c r="C92" s="68" t="s">
        <v>500</v>
      </c>
      <c r="D92" s="117">
        <f>D91/3</f>
        <v>104.166666666667</v>
      </c>
      <c r="E92" s="119">
        <f>E91/3</f>
        <v>423.33333333333297</v>
      </c>
    </row>
    <row r="93" spans="1:7">
      <c r="E93" s="121">
        <v>423.35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64"/>
  <sheetViews>
    <sheetView workbookViewId="0">
      <selection activeCell="P14" sqref="P14"/>
    </sheetView>
  </sheetViews>
  <sheetFormatPr defaultRowHeight="12.75"/>
  <cols>
    <col min="4" max="4" width="10" customWidth="1"/>
    <col min="5" max="5" width="10.5703125" customWidth="1"/>
    <col min="6" max="6" width="28.5703125" customWidth="1"/>
    <col min="7" max="7" width="7.85546875" customWidth="1"/>
    <col min="10" max="10" width="18.5703125" customWidth="1"/>
    <col min="14" max="14" width="9.28515625" bestFit="1" customWidth="1"/>
  </cols>
  <sheetData>
    <row r="2" spans="2:16">
      <c r="C2" s="468"/>
      <c r="D2" s="468"/>
      <c r="E2" s="468"/>
    </row>
    <row r="3" spans="2:16">
      <c r="B3" s="467" t="s">
        <v>314</v>
      </c>
      <c r="C3" s="467"/>
      <c r="D3" s="467"/>
      <c r="E3" s="467"/>
      <c r="F3" s="467"/>
      <c r="G3" s="467"/>
      <c r="H3" s="175"/>
      <c r="I3" s="148"/>
      <c r="J3" s="163"/>
      <c r="K3" s="81"/>
      <c r="L3" s="81"/>
      <c r="M3" s="81"/>
      <c r="N3" s="82"/>
    </row>
    <row r="4" spans="2:16">
      <c r="B4" s="148" t="s">
        <v>49</v>
      </c>
      <c r="C4" s="148" t="s">
        <v>315</v>
      </c>
      <c r="D4" s="148" t="s">
        <v>316</v>
      </c>
      <c r="E4" s="148" t="s">
        <v>317</v>
      </c>
      <c r="F4" s="148" t="s">
        <v>318</v>
      </c>
      <c r="G4" s="148" t="s">
        <v>27</v>
      </c>
      <c r="H4" s="148" t="s">
        <v>8</v>
      </c>
      <c r="I4" s="148"/>
      <c r="J4" s="164"/>
      <c r="K4" s="41"/>
      <c r="L4" s="41"/>
      <c r="M4" s="41"/>
      <c r="N4" s="42"/>
    </row>
    <row r="5" spans="2:16">
      <c r="B5" s="69"/>
      <c r="C5" s="46"/>
      <c r="D5" s="46"/>
      <c r="E5" s="70"/>
      <c r="F5" s="70"/>
      <c r="G5" s="174"/>
      <c r="H5" s="69"/>
      <c r="I5" s="47"/>
      <c r="J5" s="165" t="s">
        <v>478</v>
      </c>
      <c r="K5" s="41">
        <f>1.5*4</f>
        <v>6</v>
      </c>
      <c r="L5" s="41">
        <v>110</v>
      </c>
      <c r="M5" s="41">
        <f>L5*K5</f>
        <v>660</v>
      </c>
      <c r="N5" s="42"/>
    </row>
    <row r="6" spans="2:16">
      <c r="B6" s="37" t="s">
        <v>319</v>
      </c>
      <c r="C6" s="41">
        <v>450</v>
      </c>
      <c r="D6" s="41">
        <v>100</v>
      </c>
      <c r="E6" s="41">
        <v>80</v>
      </c>
      <c r="F6" s="41"/>
      <c r="G6" s="42">
        <v>3</v>
      </c>
      <c r="H6" s="40">
        <f>C6*D6*G6/10000</f>
        <v>13.5</v>
      </c>
      <c r="I6" s="39"/>
      <c r="J6" s="165" t="s">
        <v>566</v>
      </c>
      <c r="K6" s="41">
        <v>12</v>
      </c>
      <c r="L6" s="41">
        <v>28.53</v>
      </c>
      <c r="M6" s="41">
        <f>L6*K6</f>
        <v>342.36</v>
      </c>
      <c r="N6" s="42"/>
    </row>
    <row r="7" spans="2:16">
      <c r="B7" s="37" t="s">
        <v>320</v>
      </c>
      <c r="C7" s="41">
        <v>450</v>
      </c>
      <c r="D7" s="41">
        <v>80</v>
      </c>
      <c r="E7" s="41">
        <v>80</v>
      </c>
      <c r="F7" s="38" t="s">
        <v>341</v>
      </c>
      <c r="G7" s="39">
        <v>15</v>
      </c>
      <c r="H7" s="40">
        <f t="shared" ref="H7:H27" si="0">C7*D7*G7/10000</f>
        <v>54</v>
      </c>
      <c r="I7" s="42"/>
      <c r="J7" s="165" t="s">
        <v>567</v>
      </c>
      <c r="K7" s="41"/>
      <c r="L7" s="41"/>
      <c r="M7" s="41">
        <f>264.92*4</f>
        <v>1059.68</v>
      </c>
      <c r="N7" s="42"/>
      <c r="O7">
        <v>11692</v>
      </c>
      <c r="P7" s="23" t="s">
        <v>568</v>
      </c>
    </row>
    <row r="8" spans="2:16">
      <c r="B8" s="37" t="s">
        <v>321</v>
      </c>
      <c r="C8" s="41">
        <v>600</v>
      </c>
      <c r="D8" s="41">
        <v>100</v>
      </c>
      <c r="E8" s="41">
        <v>80</v>
      </c>
      <c r="F8" s="41"/>
      <c r="G8" s="42">
        <v>3</v>
      </c>
      <c r="H8" s="40">
        <f t="shared" si="0"/>
        <v>18</v>
      </c>
      <c r="I8" s="39"/>
      <c r="J8" s="164"/>
      <c r="K8" s="41"/>
      <c r="L8" s="38"/>
      <c r="M8" s="41">
        <f>SUM(M5:M7)</f>
        <v>2062.04</v>
      </c>
      <c r="N8" s="42"/>
      <c r="O8" t="s">
        <v>563</v>
      </c>
    </row>
    <row r="9" spans="2:16">
      <c r="B9" s="37" t="s">
        <v>322</v>
      </c>
      <c r="C9" s="41">
        <v>600</v>
      </c>
      <c r="D9" s="41">
        <v>120</v>
      </c>
      <c r="E9" s="41">
        <v>80</v>
      </c>
      <c r="F9" s="38" t="s">
        <v>339</v>
      </c>
      <c r="G9" s="39">
        <v>3</v>
      </c>
      <c r="H9" s="40">
        <f t="shared" si="0"/>
        <v>21.6</v>
      </c>
      <c r="I9" s="42"/>
      <c r="J9" s="164"/>
      <c r="K9" s="38"/>
      <c r="L9" s="38"/>
      <c r="M9" s="38"/>
      <c r="N9" s="39"/>
    </row>
    <row r="10" spans="2:16">
      <c r="B10" s="37"/>
      <c r="C10" s="41"/>
      <c r="D10" s="41"/>
      <c r="E10" s="41"/>
      <c r="F10" s="38"/>
      <c r="G10" s="39"/>
      <c r="H10" s="40">
        <f t="shared" si="0"/>
        <v>0</v>
      </c>
      <c r="I10" s="42"/>
      <c r="J10" s="164"/>
      <c r="K10" s="38"/>
      <c r="L10" s="38"/>
      <c r="M10" s="38"/>
      <c r="N10" s="39"/>
    </row>
    <row r="11" spans="2:16">
      <c r="B11" s="37" t="s">
        <v>323</v>
      </c>
      <c r="C11" s="41">
        <v>450</v>
      </c>
      <c r="D11" s="41">
        <v>100</v>
      </c>
      <c r="E11" s="41">
        <v>80</v>
      </c>
      <c r="F11" s="38" t="s">
        <v>340</v>
      </c>
      <c r="G11" s="39">
        <v>6</v>
      </c>
      <c r="H11" s="40">
        <f t="shared" si="0"/>
        <v>27</v>
      </c>
      <c r="I11" s="170"/>
      <c r="J11" s="165"/>
      <c r="K11" s="38"/>
      <c r="L11" s="41"/>
      <c r="M11" s="105"/>
      <c r="N11" s="106"/>
    </row>
    <row r="12" spans="2:16">
      <c r="B12" s="37" t="s">
        <v>324</v>
      </c>
      <c r="C12" s="41">
        <v>600</v>
      </c>
      <c r="D12" s="41">
        <v>80</v>
      </c>
      <c r="E12" s="41">
        <v>80</v>
      </c>
      <c r="F12" s="41"/>
      <c r="G12" s="39">
        <v>3</v>
      </c>
      <c r="H12" s="40">
        <f t="shared" si="0"/>
        <v>14.4</v>
      </c>
      <c r="I12" s="171"/>
      <c r="J12" s="166"/>
      <c r="K12" s="77"/>
      <c r="L12" s="107"/>
      <c r="M12" s="108"/>
      <c r="N12" s="109"/>
    </row>
    <row r="13" spans="2:16">
      <c r="B13" s="37"/>
      <c r="C13" s="41"/>
      <c r="D13" s="41"/>
      <c r="E13" s="41"/>
      <c r="F13" s="41"/>
      <c r="G13" s="39"/>
      <c r="H13" s="40">
        <f t="shared" si="0"/>
        <v>0</v>
      </c>
      <c r="I13" s="172"/>
      <c r="J13" s="167"/>
      <c r="K13" s="77"/>
      <c r="L13" s="89"/>
      <c r="M13" s="113"/>
      <c r="N13" s="109"/>
    </row>
    <row r="14" spans="2:16">
      <c r="B14" s="37" t="s">
        <v>325</v>
      </c>
      <c r="C14" s="41">
        <v>450</v>
      </c>
      <c r="D14" s="41">
        <v>80</v>
      </c>
      <c r="E14" s="41">
        <v>80</v>
      </c>
      <c r="F14" s="41"/>
      <c r="G14" s="39">
        <v>6</v>
      </c>
      <c r="H14" s="40">
        <f t="shared" si="0"/>
        <v>21.6</v>
      </c>
      <c r="I14" s="39"/>
      <c r="J14" s="168"/>
      <c r="K14" s="95"/>
      <c r="L14" s="95"/>
      <c r="M14" s="95"/>
      <c r="N14" s="112"/>
    </row>
    <row r="15" spans="2:16">
      <c r="B15" s="37" t="s">
        <v>326</v>
      </c>
      <c r="C15" s="41">
        <v>300</v>
      </c>
      <c r="D15" s="41">
        <v>100</v>
      </c>
      <c r="E15" s="41">
        <v>80</v>
      </c>
      <c r="F15" s="38" t="s">
        <v>340</v>
      </c>
      <c r="G15" s="39">
        <v>4</v>
      </c>
      <c r="H15" s="40">
        <f t="shared" si="0"/>
        <v>12</v>
      </c>
      <c r="I15" s="42"/>
      <c r="J15" s="169"/>
      <c r="K15" s="110"/>
      <c r="L15" s="110"/>
      <c r="M15" s="110"/>
      <c r="N15" s="111"/>
    </row>
    <row r="16" spans="2:16">
      <c r="B16" s="37" t="s">
        <v>327</v>
      </c>
      <c r="C16" s="41">
        <v>280</v>
      </c>
      <c r="D16" s="41">
        <v>100</v>
      </c>
      <c r="E16" s="41">
        <v>80</v>
      </c>
      <c r="F16" s="41"/>
      <c r="G16" s="39">
        <v>2</v>
      </c>
      <c r="H16" s="40">
        <f t="shared" si="0"/>
        <v>5.6</v>
      </c>
      <c r="I16" s="42"/>
    </row>
    <row r="17" spans="2:11">
      <c r="B17" s="37" t="s">
        <v>328</v>
      </c>
      <c r="C17" s="41">
        <v>450</v>
      </c>
      <c r="D17" s="41">
        <v>100</v>
      </c>
      <c r="E17" s="41">
        <v>80</v>
      </c>
      <c r="F17" s="38" t="s">
        <v>342</v>
      </c>
      <c r="G17" s="39">
        <v>1</v>
      </c>
      <c r="H17" s="40">
        <f t="shared" si="0"/>
        <v>4.5</v>
      </c>
      <c r="I17" s="42"/>
    </row>
    <row r="18" spans="2:11">
      <c r="B18" s="37" t="s">
        <v>329</v>
      </c>
      <c r="C18" s="41">
        <v>450</v>
      </c>
      <c r="D18" s="41">
        <v>100</v>
      </c>
      <c r="E18" s="41">
        <v>80</v>
      </c>
      <c r="F18" s="38" t="s">
        <v>343</v>
      </c>
      <c r="G18" s="39">
        <v>3</v>
      </c>
      <c r="H18" s="40">
        <f t="shared" si="0"/>
        <v>13.5</v>
      </c>
      <c r="I18" s="42"/>
    </row>
    <row r="19" spans="2:11">
      <c r="B19" s="37" t="s">
        <v>330</v>
      </c>
      <c r="C19" s="41">
        <v>750</v>
      </c>
      <c r="D19" s="41">
        <v>80</v>
      </c>
      <c r="E19" s="41">
        <v>80</v>
      </c>
      <c r="F19" s="38" t="s">
        <v>341</v>
      </c>
      <c r="G19" s="39">
        <v>1</v>
      </c>
      <c r="H19" s="40">
        <f t="shared" si="0"/>
        <v>6</v>
      </c>
      <c r="I19" s="42"/>
    </row>
    <row r="20" spans="2:11">
      <c r="B20" s="37" t="s">
        <v>331</v>
      </c>
      <c r="C20" s="41">
        <v>600</v>
      </c>
      <c r="D20" s="41">
        <v>80</v>
      </c>
      <c r="E20" s="41">
        <v>80</v>
      </c>
      <c r="F20" s="38" t="s">
        <v>343</v>
      </c>
      <c r="G20" s="39">
        <v>1</v>
      </c>
      <c r="H20" s="40">
        <f t="shared" si="0"/>
        <v>4.8</v>
      </c>
      <c r="I20" s="42"/>
    </row>
    <row r="21" spans="2:11">
      <c r="B21" s="37" t="s">
        <v>332</v>
      </c>
      <c r="C21" s="41">
        <v>300</v>
      </c>
      <c r="D21" s="41">
        <v>80</v>
      </c>
      <c r="E21" s="41">
        <v>80</v>
      </c>
      <c r="F21" s="41"/>
      <c r="G21" s="39">
        <v>3</v>
      </c>
      <c r="H21" s="40">
        <f t="shared" si="0"/>
        <v>7.2</v>
      </c>
      <c r="I21" s="42"/>
    </row>
    <row r="22" spans="2:11">
      <c r="B22" s="37" t="s">
        <v>333</v>
      </c>
      <c r="C22" s="41">
        <v>750</v>
      </c>
      <c r="D22" s="41">
        <v>80</v>
      </c>
      <c r="E22" s="41">
        <v>80</v>
      </c>
      <c r="F22" s="38" t="s">
        <v>343</v>
      </c>
      <c r="G22" s="39">
        <v>1</v>
      </c>
      <c r="H22" s="40">
        <f t="shared" si="0"/>
        <v>6</v>
      </c>
      <c r="I22" s="42"/>
    </row>
    <row r="23" spans="2:11">
      <c r="B23" s="37" t="s">
        <v>334</v>
      </c>
      <c r="C23" s="41">
        <v>150</v>
      </c>
      <c r="D23" s="41">
        <v>80</v>
      </c>
      <c r="E23" s="41">
        <v>80</v>
      </c>
      <c r="F23" s="38" t="s">
        <v>341</v>
      </c>
      <c r="G23" s="39">
        <v>1</v>
      </c>
      <c r="H23" s="40">
        <f t="shared" si="0"/>
        <v>1.2</v>
      </c>
      <c r="I23" s="42"/>
    </row>
    <row r="24" spans="2:11">
      <c r="B24" s="37" t="s">
        <v>335</v>
      </c>
      <c r="C24" s="41">
        <v>150</v>
      </c>
      <c r="D24" s="41">
        <v>60</v>
      </c>
      <c r="E24" s="41">
        <v>90</v>
      </c>
      <c r="F24" s="41"/>
      <c r="G24" s="39">
        <v>1</v>
      </c>
      <c r="H24" s="40">
        <f t="shared" si="0"/>
        <v>0.9</v>
      </c>
      <c r="I24" s="42"/>
    </row>
    <row r="25" spans="2:11">
      <c r="B25" s="37" t="s">
        <v>336</v>
      </c>
      <c r="C25" s="41">
        <v>300</v>
      </c>
      <c r="D25" s="41">
        <v>60</v>
      </c>
      <c r="E25" s="41">
        <v>90</v>
      </c>
      <c r="F25" s="38" t="s">
        <v>348</v>
      </c>
      <c r="G25" s="39">
        <v>1</v>
      </c>
      <c r="H25" s="40">
        <f t="shared" si="0"/>
        <v>1.8</v>
      </c>
      <c r="I25" s="42"/>
    </row>
    <row r="26" spans="2:11">
      <c r="B26" s="37" t="s">
        <v>337</v>
      </c>
      <c r="C26" s="41">
        <v>300</v>
      </c>
      <c r="D26" s="41">
        <v>80</v>
      </c>
      <c r="E26" s="41">
        <v>80</v>
      </c>
      <c r="F26" s="38" t="s">
        <v>341</v>
      </c>
      <c r="G26" s="42"/>
      <c r="H26" s="40">
        <f t="shared" si="0"/>
        <v>0</v>
      </c>
      <c r="I26" s="42"/>
    </row>
    <row r="27" spans="2:11">
      <c r="B27" s="37" t="s">
        <v>338</v>
      </c>
      <c r="C27" s="41">
        <v>500</v>
      </c>
      <c r="D27" s="41">
        <v>80</v>
      </c>
      <c r="E27" s="41">
        <v>80</v>
      </c>
      <c r="F27" s="41"/>
      <c r="G27" s="42">
        <v>4</v>
      </c>
      <c r="H27" s="40">
        <f t="shared" si="0"/>
        <v>16</v>
      </c>
      <c r="I27" s="42"/>
    </row>
    <row r="28" spans="2:11">
      <c r="B28" s="43"/>
      <c r="C28" s="44"/>
      <c r="D28" s="44"/>
      <c r="E28" s="44"/>
      <c r="F28" s="44"/>
      <c r="G28" s="45"/>
      <c r="H28" s="84">
        <f>SUM(H6:H27)</f>
        <v>249.6</v>
      </c>
      <c r="I28" s="173" t="s">
        <v>8</v>
      </c>
      <c r="J28">
        <f>SUM(G6:G28)</f>
        <v>62</v>
      </c>
      <c r="K28">
        <f>J28*1200</f>
        <v>74400</v>
      </c>
    </row>
    <row r="29" spans="2:11">
      <c r="B29" s="48" t="s">
        <v>344</v>
      </c>
      <c r="C29" s="49"/>
      <c r="D29" s="49"/>
      <c r="E29" s="49"/>
      <c r="F29" s="49"/>
      <c r="G29" s="50"/>
    </row>
    <row r="30" spans="2:11">
      <c r="B30" s="51" t="s">
        <v>345</v>
      </c>
      <c r="C30" s="1"/>
      <c r="D30" s="1"/>
      <c r="E30" s="1"/>
      <c r="F30" s="1"/>
      <c r="G30" s="52"/>
    </row>
    <row r="31" spans="2:11">
      <c r="B31" s="51" t="s">
        <v>346</v>
      </c>
      <c r="C31" s="1"/>
      <c r="D31" s="1"/>
      <c r="E31" s="1"/>
      <c r="F31" s="1"/>
      <c r="G31" s="52"/>
    </row>
    <row r="32" spans="2:11">
      <c r="B32" s="53" t="s">
        <v>347</v>
      </c>
      <c r="C32" s="54"/>
      <c r="D32" s="54"/>
      <c r="E32" s="54"/>
      <c r="F32" s="54"/>
      <c r="G32" s="55"/>
    </row>
    <row r="34" spans="2:7">
      <c r="B34" s="64" t="s">
        <v>401</v>
      </c>
      <c r="C34" s="56" t="s">
        <v>375</v>
      </c>
      <c r="D34" s="57"/>
      <c r="E34" s="57"/>
      <c r="F34" s="57"/>
      <c r="G34" s="58">
        <v>6</v>
      </c>
    </row>
    <row r="35" spans="2:7">
      <c r="B35" s="37" t="s">
        <v>349</v>
      </c>
      <c r="C35" s="59" t="s">
        <v>350</v>
      </c>
      <c r="D35" s="30"/>
      <c r="E35" s="30"/>
      <c r="F35" s="30"/>
      <c r="G35" s="60">
        <v>10</v>
      </c>
    </row>
    <row r="36" spans="2:7">
      <c r="B36" s="65" t="s">
        <v>351</v>
      </c>
      <c r="C36" s="59" t="s">
        <v>352</v>
      </c>
      <c r="D36" s="30"/>
      <c r="E36" s="30"/>
      <c r="F36" s="30"/>
      <c r="G36" s="60">
        <v>48</v>
      </c>
    </row>
    <row r="37" spans="2:7">
      <c r="B37" s="65" t="s">
        <v>353</v>
      </c>
      <c r="C37" s="59" t="s">
        <v>354</v>
      </c>
      <c r="D37" s="30"/>
      <c r="E37" s="30"/>
      <c r="F37" s="30"/>
      <c r="G37" s="60">
        <v>10</v>
      </c>
    </row>
    <row r="38" spans="2:7">
      <c r="B38" s="65" t="s">
        <v>355</v>
      </c>
      <c r="C38" s="59" t="s">
        <v>400</v>
      </c>
      <c r="D38" s="30"/>
      <c r="E38" s="30"/>
      <c r="F38" s="30"/>
      <c r="G38" s="60"/>
    </row>
    <row r="39" spans="2:7">
      <c r="B39" s="65" t="s">
        <v>356</v>
      </c>
      <c r="C39" s="59" t="s">
        <v>357</v>
      </c>
      <c r="D39" s="30"/>
      <c r="E39" s="30"/>
      <c r="F39" s="30"/>
      <c r="G39" s="60"/>
    </row>
    <row r="40" spans="2:7">
      <c r="B40" s="65" t="s">
        <v>358</v>
      </c>
      <c r="C40" s="59" t="s">
        <v>359</v>
      </c>
      <c r="D40" s="30"/>
      <c r="E40" s="30"/>
      <c r="F40" s="30"/>
      <c r="G40" s="60"/>
    </row>
    <row r="41" spans="2:7">
      <c r="B41" s="65" t="s">
        <v>360</v>
      </c>
      <c r="C41" s="59" t="s">
        <v>361</v>
      </c>
      <c r="D41" s="30"/>
      <c r="E41" s="30"/>
      <c r="F41" s="30"/>
      <c r="G41" s="60">
        <v>58</v>
      </c>
    </row>
    <row r="42" spans="2:7">
      <c r="B42" s="65" t="s">
        <v>362</v>
      </c>
      <c r="C42" s="66" t="s">
        <v>363</v>
      </c>
      <c r="D42" s="32"/>
      <c r="E42" s="32"/>
      <c r="F42" s="32"/>
      <c r="G42" s="60">
        <v>29</v>
      </c>
    </row>
    <row r="43" spans="2:7">
      <c r="B43" s="40"/>
      <c r="C43" s="67" t="s">
        <v>364</v>
      </c>
      <c r="D43" s="29"/>
      <c r="E43" s="29"/>
      <c r="F43" s="29"/>
      <c r="G43" s="60"/>
    </row>
    <row r="44" spans="2:7">
      <c r="B44" s="37" t="s">
        <v>365</v>
      </c>
      <c r="C44" s="59" t="s">
        <v>366</v>
      </c>
      <c r="D44" s="30"/>
      <c r="E44" s="30"/>
      <c r="F44" s="30"/>
      <c r="G44" s="60">
        <v>18</v>
      </c>
    </row>
    <row r="45" spans="2:7">
      <c r="B45" s="37" t="s">
        <v>367</v>
      </c>
      <c r="C45" s="59" t="s">
        <v>368</v>
      </c>
      <c r="D45" s="30"/>
      <c r="E45" s="30"/>
      <c r="F45" s="30"/>
      <c r="G45" s="60">
        <v>10</v>
      </c>
    </row>
    <row r="46" spans="2:7">
      <c r="B46" s="37" t="s">
        <v>369</v>
      </c>
      <c r="C46" s="59" t="s">
        <v>370</v>
      </c>
      <c r="D46" s="30"/>
      <c r="E46" s="30"/>
      <c r="F46" s="30"/>
      <c r="G46" s="60">
        <v>2</v>
      </c>
    </row>
    <row r="47" spans="2:7">
      <c r="B47" s="37" t="s">
        <v>371</v>
      </c>
      <c r="C47" s="59" t="s">
        <v>372</v>
      </c>
      <c r="D47" s="30"/>
      <c r="E47" s="30"/>
      <c r="F47" s="30"/>
      <c r="G47" s="60">
        <v>4</v>
      </c>
    </row>
    <row r="48" spans="2:7">
      <c r="B48" s="43" t="s">
        <v>373</v>
      </c>
      <c r="C48" s="61" t="s">
        <v>374</v>
      </c>
      <c r="D48" s="62"/>
      <c r="E48" s="62"/>
      <c r="F48" s="62"/>
      <c r="G48" s="63"/>
    </row>
    <row r="50" spans="2:9">
      <c r="B50" s="469" t="s">
        <v>376</v>
      </c>
      <c r="C50" s="470"/>
      <c r="D50" s="470"/>
      <c r="E50" s="470"/>
      <c r="F50" s="470"/>
      <c r="G50" s="471"/>
    </row>
    <row r="51" spans="2:9">
      <c r="B51" s="69"/>
      <c r="C51" s="46" t="s">
        <v>378</v>
      </c>
      <c r="D51" s="46" t="s">
        <v>379</v>
      </c>
      <c r="E51" s="70"/>
      <c r="F51" s="46" t="s">
        <v>386</v>
      </c>
      <c r="G51" s="47" t="s">
        <v>380</v>
      </c>
    </row>
    <row r="52" spans="2:9">
      <c r="B52" s="37" t="s">
        <v>377</v>
      </c>
      <c r="C52" s="41">
        <v>250</v>
      </c>
      <c r="D52" s="41">
        <v>150</v>
      </c>
      <c r="E52" s="41"/>
      <c r="F52" s="38" t="s">
        <v>387</v>
      </c>
      <c r="G52" s="42">
        <v>122</v>
      </c>
      <c r="H52">
        <f>2.5*1.5*122</f>
        <v>457.5</v>
      </c>
    </row>
    <row r="53" spans="2:9">
      <c r="B53" s="37" t="s">
        <v>381</v>
      </c>
      <c r="C53" s="41">
        <v>250</v>
      </c>
      <c r="D53" s="41">
        <v>50</v>
      </c>
      <c r="E53" s="41"/>
      <c r="F53" s="38" t="s">
        <v>387</v>
      </c>
      <c r="G53" s="42">
        <v>114</v>
      </c>
      <c r="H53">
        <f>G53*2.5*0.5</f>
        <v>142.5</v>
      </c>
    </row>
    <row r="54" spans="2:9">
      <c r="B54" s="37" t="s">
        <v>382</v>
      </c>
      <c r="C54" s="41">
        <v>150</v>
      </c>
      <c r="D54" s="41">
        <v>100</v>
      </c>
      <c r="E54" s="41"/>
      <c r="F54" s="38" t="s">
        <v>387</v>
      </c>
      <c r="G54" s="42">
        <v>7</v>
      </c>
      <c r="H54">
        <f>1.5*G54</f>
        <v>10.5</v>
      </c>
    </row>
    <row r="55" spans="2:9">
      <c r="B55" s="37" t="s">
        <v>383</v>
      </c>
      <c r="C55" s="38">
        <v>100</v>
      </c>
      <c r="D55" s="41">
        <v>100</v>
      </c>
      <c r="E55" s="41"/>
      <c r="F55" s="38" t="s">
        <v>387</v>
      </c>
      <c r="G55" s="42">
        <v>7</v>
      </c>
      <c r="H55">
        <f>G55</f>
        <v>7</v>
      </c>
    </row>
    <row r="56" spans="2:9">
      <c r="B56" s="37" t="s">
        <v>384</v>
      </c>
      <c r="C56" s="38">
        <v>200</v>
      </c>
      <c r="D56" s="41">
        <v>100</v>
      </c>
      <c r="E56" s="41"/>
      <c r="F56" s="38" t="s">
        <v>387</v>
      </c>
      <c r="G56" s="42">
        <v>13</v>
      </c>
      <c r="H56">
        <f>G56*2</f>
        <v>26</v>
      </c>
    </row>
    <row r="57" spans="2:9">
      <c r="B57" s="40"/>
      <c r="C57" s="41"/>
      <c r="D57" s="41"/>
      <c r="E57" s="41"/>
      <c r="F57" s="41"/>
      <c r="G57" s="42"/>
    </row>
    <row r="58" spans="2:9">
      <c r="B58" s="37" t="s">
        <v>385</v>
      </c>
      <c r="C58" s="41">
        <v>80</v>
      </c>
      <c r="D58" s="41">
        <v>210</v>
      </c>
      <c r="E58" s="41"/>
      <c r="F58" s="38" t="s">
        <v>388</v>
      </c>
      <c r="G58" s="42">
        <v>67</v>
      </c>
      <c r="H58">
        <f>G58*2*0.8</f>
        <v>107.2</v>
      </c>
    </row>
    <row r="59" spans="2:9">
      <c r="B59" s="37" t="s">
        <v>389</v>
      </c>
      <c r="C59" s="41">
        <v>80</v>
      </c>
      <c r="D59" s="41">
        <v>210</v>
      </c>
      <c r="E59" s="41"/>
      <c r="F59" s="38" t="s">
        <v>390</v>
      </c>
      <c r="G59" s="42">
        <v>11</v>
      </c>
    </row>
    <row r="60" spans="2:9">
      <c r="B60" s="37" t="s">
        <v>391</v>
      </c>
      <c r="C60" s="41">
        <v>150</v>
      </c>
      <c r="D60" s="41">
        <v>210</v>
      </c>
      <c r="E60" s="38" t="s">
        <v>392</v>
      </c>
      <c r="F60" s="38" t="s">
        <v>394</v>
      </c>
      <c r="G60" s="42">
        <v>1</v>
      </c>
      <c r="H60">
        <f>D60*C60/10000</f>
        <v>3.15</v>
      </c>
    </row>
    <row r="61" spans="2:9">
      <c r="B61" s="37" t="s">
        <v>393</v>
      </c>
      <c r="C61" s="41">
        <v>200</v>
      </c>
      <c r="D61" s="41">
        <v>310</v>
      </c>
      <c r="E61" s="38" t="s">
        <v>392</v>
      </c>
      <c r="F61" s="38" t="s">
        <v>395</v>
      </c>
      <c r="G61" s="42">
        <v>1</v>
      </c>
      <c r="H61">
        <f>C61*D61/10000</f>
        <v>6.2</v>
      </c>
    </row>
    <row r="62" spans="2:9">
      <c r="B62" s="37" t="s">
        <v>396</v>
      </c>
      <c r="C62" s="41">
        <v>150</v>
      </c>
      <c r="D62" s="41">
        <v>310</v>
      </c>
      <c r="E62" s="38" t="s">
        <v>392</v>
      </c>
      <c r="F62" s="38" t="s">
        <v>394</v>
      </c>
      <c r="G62" s="42">
        <v>12</v>
      </c>
      <c r="H62">
        <f>G62*1.5*3.1</f>
        <v>55.8</v>
      </c>
      <c r="I62">
        <f>SUM(H52:H62)</f>
        <v>815.85</v>
      </c>
    </row>
    <row r="63" spans="2:9">
      <c r="B63" s="37" t="s">
        <v>397</v>
      </c>
      <c r="C63" s="41">
        <v>80</v>
      </c>
      <c r="D63" s="41">
        <v>180</v>
      </c>
      <c r="E63" s="41"/>
      <c r="F63" s="38" t="s">
        <v>398</v>
      </c>
      <c r="G63" s="42">
        <v>10</v>
      </c>
    </row>
    <row r="64" spans="2:9">
      <c r="B64" s="43" t="s">
        <v>399</v>
      </c>
      <c r="C64" s="44">
        <v>70</v>
      </c>
      <c r="D64" s="44">
        <v>180</v>
      </c>
      <c r="E64" s="44"/>
      <c r="F64" s="68" t="s">
        <v>398</v>
      </c>
      <c r="G64" s="45">
        <v>38</v>
      </c>
    </row>
  </sheetData>
  <mergeCells count="3">
    <mergeCell ref="C2:E2"/>
    <mergeCell ref="B3:G3"/>
    <mergeCell ref="B50:G5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22"/>
  <sheetViews>
    <sheetView topLeftCell="A10" zoomScale="90" zoomScaleNormal="90" workbookViewId="0">
      <selection activeCell="G35" sqref="G35"/>
    </sheetView>
  </sheetViews>
  <sheetFormatPr defaultRowHeight="12.75"/>
  <cols>
    <col min="2" max="2" width="27.42578125" customWidth="1"/>
    <col min="3" max="3" width="10" bestFit="1" customWidth="1"/>
    <col min="6" max="6" width="23.42578125" customWidth="1"/>
    <col min="8" max="8" width="10.140625" bestFit="1" customWidth="1"/>
  </cols>
  <sheetData>
    <row r="4" spans="2:6">
      <c r="B4" s="104" t="s">
        <v>550</v>
      </c>
    </row>
    <row r="5" spans="2:6">
      <c r="B5" t="s">
        <v>487</v>
      </c>
    </row>
    <row r="6" spans="2:6">
      <c r="B6" s="25"/>
    </row>
    <row r="8" spans="2:6">
      <c r="B8" s="23" t="s">
        <v>488</v>
      </c>
      <c r="C8" s="72">
        <v>960</v>
      </c>
    </row>
    <row r="9" spans="2:6">
      <c r="B9" s="23" t="s">
        <v>489</v>
      </c>
      <c r="C9" s="72">
        <v>854.63</v>
      </c>
    </row>
    <row r="10" spans="2:6">
      <c r="B10" s="23" t="s">
        <v>490</v>
      </c>
      <c r="C10" s="72">
        <v>810</v>
      </c>
    </row>
    <row r="11" spans="2:6">
      <c r="C11" s="13">
        <f>SUM(C8:C10)</f>
        <v>2624.63</v>
      </c>
    </row>
    <row r="12" spans="2:6">
      <c r="B12" s="23" t="s">
        <v>491</v>
      </c>
      <c r="C12" s="13">
        <f>C11/3</f>
        <v>874.88</v>
      </c>
    </row>
    <row r="15" spans="2:6">
      <c r="B15" s="104" t="s">
        <v>786</v>
      </c>
      <c r="C15" s="23" t="s">
        <v>494</v>
      </c>
    </row>
    <row r="16" spans="2:6" ht="45" customHeight="1">
      <c r="B16" s="23" t="s">
        <v>492</v>
      </c>
      <c r="C16" s="64" t="s">
        <v>496</v>
      </c>
      <c r="D16" s="80" t="s">
        <v>497</v>
      </c>
      <c r="E16" s="115"/>
      <c r="F16" s="118" t="s">
        <v>501</v>
      </c>
    </row>
    <row r="17" spans="2:8">
      <c r="B17" s="23" t="s">
        <v>493</v>
      </c>
      <c r="C17" s="40">
        <v>78</v>
      </c>
      <c r="D17" s="41">
        <v>31.5</v>
      </c>
      <c r="E17" s="116">
        <f>SUM(C17:D17)</f>
        <v>109.5</v>
      </c>
      <c r="F17" s="119">
        <v>430</v>
      </c>
    </row>
    <row r="18" spans="2:8">
      <c r="B18" s="23" t="s">
        <v>495</v>
      </c>
      <c r="C18" s="40">
        <v>78</v>
      </c>
      <c r="D18" s="41">
        <v>20</v>
      </c>
      <c r="E18" s="116">
        <f>SUM(C18:D18)</f>
        <v>98</v>
      </c>
      <c r="F18" s="120">
        <v>380</v>
      </c>
      <c r="H18" s="114"/>
    </row>
    <row r="19" spans="2:8">
      <c r="B19" s="23" t="s">
        <v>498</v>
      </c>
      <c r="C19" s="40"/>
      <c r="D19" s="41"/>
      <c r="E19" s="116">
        <v>105</v>
      </c>
      <c r="F19" s="119">
        <v>460</v>
      </c>
    </row>
    <row r="20" spans="2:8">
      <c r="C20" s="40"/>
      <c r="D20" s="38" t="s">
        <v>499</v>
      </c>
      <c r="E20" s="116">
        <f>SUM(E17:E19)</f>
        <v>312.5</v>
      </c>
      <c r="F20" s="119">
        <f>SUM(F17:F19)</f>
        <v>1270</v>
      </c>
    </row>
    <row r="21" spans="2:8">
      <c r="C21" s="84"/>
      <c r="D21" s="68" t="s">
        <v>500</v>
      </c>
      <c r="E21" s="117">
        <f>E20/3</f>
        <v>104.166666666667</v>
      </c>
      <c r="F21" s="119">
        <f>F20/3</f>
        <v>423.33333333333297</v>
      </c>
    </row>
    <row r="22" spans="2:8">
      <c r="F22" s="121">
        <v>423.35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0"/>
  <sheetViews>
    <sheetView topLeftCell="A7" workbookViewId="0">
      <selection activeCell="C2" sqref="C2"/>
    </sheetView>
  </sheetViews>
  <sheetFormatPr defaultRowHeight="12.75"/>
  <cols>
    <col min="3" max="3" width="40.85546875" customWidth="1"/>
    <col min="8" max="8" width="14.5703125" customWidth="1"/>
  </cols>
  <sheetData>
    <row r="2" spans="2:8">
      <c r="C2" s="104" t="s">
        <v>757</v>
      </c>
    </row>
    <row r="3" spans="2:8">
      <c r="B3" s="99"/>
      <c r="C3" s="177" t="s">
        <v>740</v>
      </c>
      <c r="D3" s="177"/>
      <c r="E3" s="178"/>
      <c r="F3" s="177"/>
      <c r="G3" s="177"/>
      <c r="H3" s="179"/>
    </row>
    <row r="4" spans="2:8" ht="15">
      <c r="B4" s="79"/>
      <c r="C4" s="180" t="s">
        <v>741</v>
      </c>
      <c r="D4" s="181" t="s">
        <v>704</v>
      </c>
      <c r="E4" s="182" t="s">
        <v>742</v>
      </c>
      <c r="F4" s="81" t="s">
        <v>743</v>
      </c>
      <c r="G4" s="81" t="s">
        <v>744</v>
      </c>
      <c r="H4" s="82" t="s">
        <v>745</v>
      </c>
    </row>
    <row r="5" spans="2:8" ht="63.75">
      <c r="B5" s="183">
        <v>92593</v>
      </c>
      <c r="C5" s="184" t="s">
        <v>746</v>
      </c>
      <c r="D5" s="185">
        <v>7.5</v>
      </c>
      <c r="E5" s="185">
        <v>2.41</v>
      </c>
      <c r="F5" s="185">
        <f>E5*D5</f>
        <v>18.079999999999998</v>
      </c>
      <c r="G5" s="185">
        <v>7</v>
      </c>
      <c r="H5" s="186">
        <f>G5*F5</f>
        <v>126.56</v>
      </c>
    </row>
    <row r="6" spans="2:8">
      <c r="B6" s="183"/>
      <c r="C6" s="184"/>
      <c r="D6" s="185"/>
      <c r="E6" s="185"/>
      <c r="F6" s="185"/>
      <c r="G6" s="185"/>
      <c r="H6" s="186"/>
    </row>
    <row r="7" spans="2:8" ht="15">
      <c r="B7" s="183"/>
      <c r="C7" s="187" t="s">
        <v>747</v>
      </c>
      <c r="D7" s="188" t="s">
        <v>704</v>
      </c>
      <c r="E7" s="189" t="s">
        <v>742</v>
      </c>
      <c r="F7" s="41" t="s">
        <v>743</v>
      </c>
      <c r="G7" s="41" t="s">
        <v>744</v>
      </c>
      <c r="H7" s="42" t="s">
        <v>745</v>
      </c>
    </row>
    <row r="8" spans="2:8" ht="63.75">
      <c r="B8" s="183">
        <v>92593</v>
      </c>
      <c r="C8" s="184" t="s">
        <v>746</v>
      </c>
      <c r="D8" s="185">
        <v>7.5</v>
      </c>
      <c r="E8" s="185">
        <f>16.4/6</f>
        <v>2.73</v>
      </c>
      <c r="F8" s="185">
        <f>E8*D8</f>
        <v>20.48</v>
      </c>
      <c r="G8" s="185">
        <f>G5</f>
        <v>7</v>
      </c>
      <c r="H8" s="186">
        <f>G8*F8</f>
        <v>143.36000000000001</v>
      </c>
    </row>
    <row r="9" spans="2:8">
      <c r="B9" s="183"/>
      <c r="C9" s="184"/>
      <c r="D9" s="185"/>
      <c r="E9" s="185"/>
      <c r="F9" s="185"/>
      <c r="G9" s="185"/>
      <c r="H9" s="186"/>
    </row>
    <row r="10" spans="2:8" ht="15">
      <c r="B10" s="40"/>
      <c r="C10" s="187" t="s">
        <v>748</v>
      </c>
      <c r="D10" s="190"/>
      <c r="E10" s="189"/>
      <c r="F10" s="41"/>
      <c r="G10" s="41"/>
      <c r="H10" s="42"/>
    </row>
    <row r="11" spans="2:8">
      <c r="B11" s="40"/>
      <c r="C11" s="41"/>
      <c r="D11" s="190" t="s">
        <v>494</v>
      </c>
      <c r="E11" s="189"/>
      <c r="F11" s="41"/>
      <c r="G11" s="41" t="s">
        <v>749</v>
      </c>
      <c r="H11" s="42"/>
    </row>
    <row r="12" spans="2:8" ht="38.25">
      <c r="B12" s="191">
        <v>94213</v>
      </c>
      <c r="C12" s="192" t="s">
        <v>750</v>
      </c>
      <c r="D12" s="193">
        <v>5</v>
      </c>
      <c r="E12" s="194"/>
      <c r="F12" s="195"/>
      <c r="G12" s="195">
        <v>35.15</v>
      </c>
      <c r="H12" s="196">
        <f>G12*D12</f>
        <v>175.75</v>
      </c>
    </row>
    <row r="13" spans="2:8">
      <c r="B13" s="79"/>
      <c r="C13" s="81"/>
      <c r="D13" s="81"/>
      <c r="E13" s="182"/>
      <c r="F13" s="81"/>
      <c r="G13" s="81"/>
      <c r="H13" s="82"/>
    </row>
    <row r="14" spans="2:8">
      <c r="B14" s="40"/>
      <c r="C14" s="41"/>
      <c r="D14" s="472" t="s">
        <v>751</v>
      </c>
      <c r="E14" s="472"/>
      <c r="F14" s="472"/>
      <c r="G14" s="41" t="s">
        <v>752</v>
      </c>
      <c r="H14" s="197">
        <f>SUM(H5:H12)</f>
        <v>445.67</v>
      </c>
    </row>
    <row r="15" spans="2:8">
      <c r="B15" s="40"/>
      <c r="C15" s="41"/>
      <c r="D15" s="473" t="s">
        <v>753</v>
      </c>
      <c r="E15" s="473"/>
      <c r="F15" s="473"/>
      <c r="G15" s="41" t="s">
        <v>752</v>
      </c>
      <c r="H15" s="197">
        <f>H14/5</f>
        <v>89.13</v>
      </c>
    </row>
    <row r="16" spans="2:8">
      <c r="B16" s="40"/>
      <c r="C16" s="41"/>
      <c r="D16" s="473" t="s">
        <v>754</v>
      </c>
      <c r="E16" s="473"/>
      <c r="F16" s="473"/>
      <c r="G16" s="41" t="s">
        <v>752</v>
      </c>
      <c r="H16" s="197">
        <f>H15*1.3</f>
        <v>115.87</v>
      </c>
    </row>
    <row r="17" spans="2:8">
      <c r="B17" s="40"/>
      <c r="C17" s="41"/>
      <c r="D17" s="41"/>
      <c r="E17" s="189"/>
      <c r="F17" s="41"/>
      <c r="G17" s="41"/>
      <c r="H17" s="197"/>
    </row>
    <row r="18" spans="2:8">
      <c r="B18" s="40"/>
      <c r="C18" s="41"/>
      <c r="D18" s="473" t="s">
        <v>755</v>
      </c>
      <c r="E18" s="473"/>
      <c r="F18" s="473"/>
      <c r="G18" s="473"/>
      <c r="H18" s="197">
        <v>120</v>
      </c>
    </row>
    <row r="19" spans="2:8">
      <c r="B19" s="84"/>
      <c r="C19" s="44"/>
      <c r="D19" s="44"/>
      <c r="E19" s="198"/>
      <c r="F19" s="44"/>
      <c r="G19" s="44"/>
      <c r="H19" s="45"/>
    </row>
    <row r="20" spans="2:8">
      <c r="C20" t="s">
        <v>756</v>
      </c>
      <c r="E20" s="17"/>
    </row>
  </sheetData>
  <mergeCells count="4">
    <mergeCell ref="D14:F14"/>
    <mergeCell ref="D15:F15"/>
    <mergeCell ref="D16:F16"/>
    <mergeCell ref="D18:G18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57"/>
  <sheetViews>
    <sheetView topLeftCell="D16" workbookViewId="0">
      <selection activeCell="M29" sqref="M29"/>
    </sheetView>
  </sheetViews>
  <sheetFormatPr defaultColWidth="9.140625" defaultRowHeight="12.75"/>
  <cols>
    <col min="1" max="1" width="9.140625" style="226"/>
    <col min="2" max="2" width="57.7109375" style="226" customWidth="1"/>
    <col min="3" max="3" width="14" style="229" customWidth="1"/>
    <col min="4" max="4" width="9.140625" style="226"/>
    <col min="5" max="5" width="57.7109375" style="226" customWidth="1"/>
    <col min="6" max="6" width="11.42578125" style="229" customWidth="1"/>
    <col min="7" max="8" width="9.140625" style="226"/>
    <col min="9" max="9" width="40.28515625" style="226" customWidth="1"/>
    <col min="10" max="11" width="9.140625" style="226"/>
    <col min="12" max="12" width="10.28515625" style="226" bestFit="1" customWidth="1"/>
    <col min="13" max="16384" width="9.140625" style="226"/>
  </cols>
  <sheetData>
    <row r="2" spans="2:11">
      <c r="I2" s="259" t="s">
        <v>425</v>
      </c>
      <c r="J2" s="260"/>
      <c r="K2" s="231"/>
    </row>
    <row r="3" spans="2:11" ht="38.25">
      <c r="B3" s="227" t="s">
        <v>799</v>
      </c>
      <c r="C3" s="230"/>
      <c r="D3" s="231"/>
      <c r="E3" s="228" t="s">
        <v>800</v>
      </c>
      <c r="F3" s="232"/>
      <c r="I3" s="261" t="s">
        <v>801</v>
      </c>
      <c r="J3" s="239"/>
      <c r="K3" s="235"/>
    </row>
    <row r="4" spans="2:11">
      <c r="B4" s="233"/>
      <c r="C4" s="234"/>
      <c r="D4" s="235"/>
      <c r="E4" s="236"/>
      <c r="F4" s="237"/>
      <c r="I4" s="246"/>
      <c r="J4" s="239"/>
      <c r="K4" s="235"/>
    </row>
    <row r="5" spans="2:11">
      <c r="B5" s="240" t="s">
        <v>802</v>
      </c>
      <c r="C5" s="241"/>
      <c r="D5" s="235"/>
      <c r="E5" s="242" t="s">
        <v>802</v>
      </c>
      <c r="F5" s="243"/>
      <c r="I5" s="240" t="s">
        <v>802</v>
      </c>
      <c r="J5" s="241"/>
      <c r="K5" s="235"/>
    </row>
    <row r="6" spans="2:11">
      <c r="B6" s="244"/>
      <c r="C6" s="241"/>
      <c r="D6" s="235"/>
      <c r="E6" s="245"/>
      <c r="F6" s="243"/>
      <c r="I6" s="244"/>
      <c r="J6" s="241"/>
      <c r="K6" s="235"/>
    </row>
    <row r="7" spans="2:11">
      <c r="B7" s="244" t="s">
        <v>803</v>
      </c>
      <c r="C7" s="241"/>
      <c r="D7" s="235"/>
      <c r="E7" s="245" t="s">
        <v>803</v>
      </c>
      <c r="F7" s="243"/>
      <c r="I7" s="244" t="s">
        <v>803</v>
      </c>
      <c r="J7" s="241"/>
      <c r="K7" s="235"/>
    </row>
    <row r="8" spans="2:11">
      <c r="B8" s="244" t="s">
        <v>804</v>
      </c>
      <c r="C8" s="241">
        <v>3</v>
      </c>
      <c r="D8" s="235" t="s">
        <v>6</v>
      </c>
      <c r="E8" s="245" t="s">
        <v>804</v>
      </c>
      <c r="F8" s="243">
        <v>104</v>
      </c>
      <c r="G8" s="226" t="s">
        <v>6</v>
      </c>
      <c r="I8" s="244" t="s">
        <v>804</v>
      </c>
      <c r="J8" s="241">
        <f>IF(F8="","-",F8+C8)</f>
        <v>107</v>
      </c>
      <c r="K8" s="235" t="s">
        <v>6</v>
      </c>
    </row>
    <row r="9" spans="2:11">
      <c r="B9" s="244"/>
      <c r="C9" s="241"/>
      <c r="D9" s="235"/>
      <c r="E9" s="245"/>
      <c r="F9" s="243"/>
      <c r="I9" s="244"/>
      <c r="J9" s="241" t="str">
        <f t="shared" ref="J9:J72" si="0">IF(F9="","-",F9+C9)</f>
        <v>-</v>
      </c>
      <c r="K9" s="235"/>
    </row>
    <row r="10" spans="2:11">
      <c r="B10" s="244"/>
      <c r="C10" s="241"/>
      <c r="D10" s="235"/>
      <c r="E10" s="245" t="s">
        <v>805</v>
      </c>
      <c r="F10" s="243"/>
      <c r="I10" s="244" t="s">
        <v>805</v>
      </c>
      <c r="J10" s="241" t="str">
        <f t="shared" si="0"/>
        <v>-</v>
      </c>
      <c r="K10" s="235"/>
    </row>
    <row r="11" spans="2:11">
      <c r="B11" s="244"/>
      <c r="C11" s="241"/>
      <c r="D11" s="235"/>
      <c r="E11" s="245" t="s">
        <v>34</v>
      </c>
      <c r="F11" s="243">
        <v>2</v>
      </c>
      <c r="G11" s="226" t="s">
        <v>6</v>
      </c>
      <c r="I11" s="244" t="s">
        <v>34</v>
      </c>
      <c r="J11" s="241">
        <f t="shared" si="0"/>
        <v>2</v>
      </c>
      <c r="K11" s="235" t="s">
        <v>6</v>
      </c>
    </row>
    <row r="12" spans="2:11">
      <c r="B12" s="244"/>
      <c r="C12" s="241"/>
      <c r="D12" s="235"/>
      <c r="E12" s="245" t="s">
        <v>806</v>
      </c>
      <c r="F12" s="243"/>
      <c r="I12" s="244" t="s">
        <v>806</v>
      </c>
      <c r="J12" s="241" t="str">
        <f>IF(F12="","-",F12+C12)</f>
        <v>-</v>
      </c>
      <c r="K12" s="235"/>
    </row>
    <row r="13" spans="2:11">
      <c r="B13" s="246"/>
      <c r="C13" s="234"/>
      <c r="D13" s="235"/>
      <c r="E13" s="245" t="s">
        <v>34</v>
      </c>
      <c r="F13" s="243">
        <v>5</v>
      </c>
      <c r="G13" s="226" t="s">
        <v>6</v>
      </c>
      <c r="I13" s="244" t="s">
        <v>34</v>
      </c>
      <c r="J13" s="241">
        <f t="shared" si="0"/>
        <v>5</v>
      </c>
      <c r="K13" s="235" t="s">
        <v>6</v>
      </c>
    </row>
    <row r="14" spans="2:11">
      <c r="B14" s="244" t="s">
        <v>807</v>
      </c>
      <c r="C14" s="241"/>
      <c r="D14" s="235"/>
      <c r="E14" s="245" t="s">
        <v>807</v>
      </c>
      <c r="F14" s="243"/>
      <c r="I14" s="244" t="s">
        <v>807</v>
      </c>
      <c r="J14" s="241" t="str">
        <f t="shared" si="0"/>
        <v>-</v>
      </c>
      <c r="K14" s="235"/>
    </row>
    <row r="15" spans="2:11">
      <c r="B15" s="244" t="s">
        <v>36</v>
      </c>
      <c r="C15" s="241">
        <v>330</v>
      </c>
      <c r="D15" s="235" t="s">
        <v>6</v>
      </c>
      <c r="E15" s="245" t="s">
        <v>36</v>
      </c>
      <c r="F15" s="243">
        <v>270</v>
      </c>
      <c r="I15" s="244" t="s">
        <v>36</v>
      </c>
      <c r="J15" s="241">
        <f t="shared" si="0"/>
        <v>600</v>
      </c>
      <c r="K15" s="235"/>
    </row>
    <row r="16" spans="2:11">
      <c r="B16" s="244" t="s">
        <v>34</v>
      </c>
      <c r="C16" s="241">
        <v>2</v>
      </c>
      <c r="D16" s="235" t="s">
        <v>6</v>
      </c>
      <c r="E16" s="245" t="s">
        <v>34</v>
      </c>
      <c r="F16" s="243">
        <v>75</v>
      </c>
      <c r="G16" s="226" t="s">
        <v>6</v>
      </c>
      <c r="I16" s="244" t="s">
        <v>34</v>
      </c>
      <c r="J16" s="241">
        <f t="shared" si="0"/>
        <v>77</v>
      </c>
      <c r="K16" s="235" t="s">
        <v>6</v>
      </c>
    </row>
    <row r="17" spans="2:14">
      <c r="E17" s="245" t="s">
        <v>808</v>
      </c>
      <c r="F17" s="243"/>
      <c r="I17" s="244" t="s">
        <v>808</v>
      </c>
      <c r="J17" s="241" t="str">
        <f t="shared" si="0"/>
        <v>-</v>
      </c>
      <c r="K17" s="235"/>
    </row>
    <row r="18" spans="2:14">
      <c r="E18" s="245" t="s">
        <v>34</v>
      </c>
      <c r="F18" s="243">
        <v>4</v>
      </c>
      <c r="G18" s="226" t="s">
        <v>6</v>
      </c>
      <c r="I18" s="244" t="s">
        <v>34</v>
      </c>
      <c r="J18" s="241">
        <f t="shared" si="0"/>
        <v>4</v>
      </c>
      <c r="K18" s="235" t="s">
        <v>6</v>
      </c>
    </row>
    <row r="19" spans="2:14">
      <c r="B19" s="244"/>
      <c r="C19" s="241"/>
      <c r="D19" s="235"/>
      <c r="E19" s="245"/>
      <c r="F19" s="243"/>
      <c r="I19" s="244"/>
      <c r="J19" s="241" t="str">
        <f t="shared" si="0"/>
        <v>-</v>
      </c>
      <c r="K19" s="235"/>
    </row>
    <row r="20" spans="2:14">
      <c r="B20" s="240" t="s">
        <v>202</v>
      </c>
      <c r="C20" s="241"/>
      <c r="D20" s="235"/>
      <c r="E20" s="242" t="s">
        <v>202</v>
      </c>
      <c r="F20" s="243"/>
      <c r="I20" s="240" t="s">
        <v>202</v>
      </c>
      <c r="J20" s="241" t="str">
        <f t="shared" si="0"/>
        <v>-</v>
      </c>
      <c r="K20" s="235"/>
    </row>
    <row r="21" spans="2:14" ht="25.5">
      <c r="B21" s="244" t="s">
        <v>203</v>
      </c>
      <c r="C21" s="241"/>
      <c r="D21" s="235"/>
      <c r="E21" s="245" t="s">
        <v>203</v>
      </c>
      <c r="F21" s="243"/>
      <c r="I21" s="244" t="s">
        <v>203</v>
      </c>
      <c r="J21" s="241" t="str">
        <f t="shared" si="0"/>
        <v>-</v>
      </c>
      <c r="K21" s="235"/>
    </row>
    <row r="22" spans="2:14" ht="15">
      <c r="B22" s="244" t="s">
        <v>204</v>
      </c>
      <c r="C22" s="241">
        <v>2200</v>
      </c>
      <c r="D22" s="235" t="s">
        <v>3</v>
      </c>
      <c r="E22" s="245" t="s">
        <v>204</v>
      </c>
      <c r="F22" s="243">
        <v>1660</v>
      </c>
      <c r="G22" s="226" t="s">
        <v>3</v>
      </c>
      <c r="I22" s="244" t="s">
        <v>204</v>
      </c>
      <c r="J22" s="241">
        <f t="shared" si="0"/>
        <v>3860</v>
      </c>
      <c r="K22" s="235" t="s">
        <v>3</v>
      </c>
      <c r="L22" s="296" t="s">
        <v>204</v>
      </c>
      <c r="M22" s="297">
        <f>[1]Plan1!$J$29</f>
        <v>3860</v>
      </c>
      <c r="N22" s="290" t="s">
        <v>3</v>
      </c>
    </row>
    <row r="23" spans="2:14" ht="15">
      <c r="B23" s="244" t="s">
        <v>205</v>
      </c>
      <c r="C23" s="241">
        <v>1800</v>
      </c>
      <c r="D23" s="235" t="s">
        <v>3</v>
      </c>
      <c r="E23" s="245" t="s">
        <v>205</v>
      </c>
      <c r="F23" s="243">
        <v>4030</v>
      </c>
      <c r="G23" s="226" t="s">
        <v>3</v>
      </c>
      <c r="I23" s="244" t="s">
        <v>205</v>
      </c>
      <c r="J23" s="241">
        <f t="shared" si="0"/>
        <v>5830</v>
      </c>
      <c r="K23" s="235" t="s">
        <v>3</v>
      </c>
      <c r="L23" s="296" t="s">
        <v>205</v>
      </c>
      <c r="M23" s="297">
        <f>[1]Plan1!$J$30</f>
        <v>5830</v>
      </c>
      <c r="N23" s="290" t="s">
        <v>3</v>
      </c>
    </row>
    <row r="24" spans="2:14" ht="15">
      <c r="B24" s="244" t="s">
        <v>206</v>
      </c>
      <c r="C24" s="241">
        <v>750</v>
      </c>
      <c r="D24" s="235" t="s">
        <v>3</v>
      </c>
      <c r="E24" s="245" t="s">
        <v>206</v>
      </c>
      <c r="F24" s="243">
        <v>1670</v>
      </c>
      <c r="G24" s="226" t="s">
        <v>3</v>
      </c>
      <c r="I24" s="244" t="s">
        <v>206</v>
      </c>
      <c r="J24" s="241">
        <f t="shared" si="0"/>
        <v>2420</v>
      </c>
      <c r="K24" s="235" t="s">
        <v>3</v>
      </c>
      <c r="L24" s="296" t="s">
        <v>206</v>
      </c>
      <c r="M24" s="297">
        <f>[1]Plan1!$J$31</f>
        <v>2420</v>
      </c>
      <c r="N24" s="290" t="s">
        <v>3</v>
      </c>
    </row>
    <row r="25" spans="2:14" ht="15">
      <c r="B25" s="244" t="s">
        <v>207</v>
      </c>
      <c r="C25" s="241">
        <v>5060</v>
      </c>
      <c r="D25" s="235" t="s">
        <v>3</v>
      </c>
      <c r="E25" s="245" t="s">
        <v>207</v>
      </c>
      <c r="F25" s="243">
        <v>6750</v>
      </c>
      <c r="G25" s="226" t="s">
        <v>3</v>
      </c>
      <c r="I25" s="244" t="s">
        <v>207</v>
      </c>
      <c r="J25" s="241">
        <f t="shared" si="0"/>
        <v>11810</v>
      </c>
      <c r="K25" s="235" t="s">
        <v>3</v>
      </c>
      <c r="L25" s="296" t="s">
        <v>207</v>
      </c>
      <c r="M25" s="297">
        <f>[1]Plan1!$J$32</f>
        <v>11810</v>
      </c>
      <c r="N25" s="290" t="s">
        <v>3</v>
      </c>
    </row>
    <row r="26" spans="2:14" ht="15">
      <c r="B26" s="244" t="s">
        <v>208</v>
      </c>
      <c r="C26" s="241">
        <v>1380</v>
      </c>
      <c r="D26" s="235" t="s">
        <v>3</v>
      </c>
      <c r="E26" s="245" t="s">
        <v>208</v>
      </c>
      <c r="F26" s="243">
        <v>965</v>
      </c>
      <c r="G26" s="226" t="s">
        <v>3</v>
      </c>
      <c r="I26" s="244" t="s">
        <v>208</v>
      </c>
      <c r="J26" s="241">
        <f t="shared" si="0"/>
        <v>2345</v>
      </c>
      <c r="K26" s="235" t="s">
        <v>3</v>
      </c>
      <c r="L26" s="296" t="s">
        <v>208</v>
      </c>
      <c r="M26" s="297">
        <f>[1]Plan1!$J$33</f>
        <v>2345</v>
      </c>
      <c r="N26" s="290" t="s">
        <v>3</v>
      </c>
    </row>
    <row r="27" spans="2:14" ht="15">
      <c r="B27" s="244" t="s">
        <v>209</v>
      </c>
      <c r="C27" s="241">
        <v>1720</v>
      </c>
      <c r="D27" s="235" t="s">
        <v>3</v>
      </c>
      <c r="E27" s="245" t="s">
        <v>209</v>
      </c>
      <c r="F27" s="243">
        <v>2030</v>
      </c>
      <c r="G27" s="226" t="s">
        <v>3</v>
      </c>
      <c r="I27" s="244" t="s">
        <v>209</v>
      </c>
      <c r="J27" s="241">
        <f t="shared" si="0"/>
        <v>3750</v>
      </c>
      <c r="K27" s="235" t="s">
        <v>3</v>
      </c>
      <c r="L27" s="296" t="s">
        <v>209</v>
      </c>
      <c r="M27" s="297">
        <f>[1]Plan1!$J$34</f>
        <v>3750</v>
      </c>
      <c r="N27" s="290" t="s">
        <v>3</v>
      </c>
    </row>
    <row r="28" spans="2:14" ht="15">
      <c r="B28" s="244" t="s">
        <v>210</v>
      </c>
      <c r="C28" s="241">
        <v>780</v>
      </c>
      <c r="D28" s="235" t="s">
        <v>3</v>
      </c>
      <c r="E28" s="245" t="s">
        <v>210</v>
      </c>
      <c r="F28" s="243">
        <v>870</v>
      </c>
      <c r="G28" s="226" t="s">
        <v>3</v>
      </c>
      <c r="I28" s="244" t="s">
        <v>210</v>
      </c>
      <c r="J28" s="241">
        <f t="shared" si="0"/>
        <v>1650</v>
      </c>
      <c r="K28" s="235" t="s">
        <v>3</v>
      </c>
      <c r="L28" s="296" t="s">
        <v>210</v>
      </c>
      <c r="M28" s="297">
        <f>[1]Plan1!$J$35</f>
        <v>1650</v>
      </c>
      <c r="N28" s="290" t="s">
        <v>3</v>
      </c>
    </row>
    <row r="29" spans="2:14">
      <c r="B29" s="242" t="s">
        <v>211</v>
      </c>
      <c r="C29" s="241"/>
      <c r="D29" s="235"/>
      <c r="E29" s="242" t="s">
        <v>211</v>
      </c>
      <c r="F29" s="243"/>
      <c r="I29" s="240" t="s">
        <v>211</v>
      </c>
      <c r="J29" s="241" t="str">
        <f t="shared" si="0"/>
        <v>-</v>
      </c>
      <c r="K29" s="235"/>
    </row>
    <row r="30" spans="2:14">
      <c r="B30" s="244"/>
      <c r="C30" s="241"/>
      <c r="D30" s="235"/>
      <c r="E30" s="245" t="s">
        <v>175</v>
      </c>
      <c r="F30" s="243"/>
      <c r="I30" s="244" t="s">
        <v>175</v>
      </c>
      <c r="J30" s="241" t="str">
        <f t="shared" si="0"/>
        <v>-</v>
      </c>
      <c r="K30" s="235"/>
    </row>
    <row r="31" spans="2:14">
      <c r="B31" s="244" t="s">
        <v>176</v>
      </c>
      <c r="C31" s="241">
        <v>20</v>
      </c>
      <c r="D31" s="235" t="s">
        <v>6</v>
      </c>
      <c r="E31" s="245" t="s">
        <v>176</v>
      </c>
      <c r="F31" s="243">
        <v>8</v>
      </c>
      <c r="G31" s="226" t="s">
        <v>6</v>
      </c>
      <c r="I31" s="244" t="s">
        <v>176</v>
      </c>
      <c r="J31" s="241">
        <f t="shared" si="0"/>
        <v>28</v>
      </c>
      <c r="K31" s="235" t="s">
        <v>6</v>
      </c>
    </row>
    <row r="32" spans="2:14">
      <c r="B32" s="244" t="s">
        <v>809</v>
      </c>
      <c r="C32" s="241">
        <v>20</v>
      </c>
      <c r="D32" s="235" t="s">
        <v>6</v>
      </c>
      <c r="E32" s="245" t="s">
        <v>809</v>
      </c>
      <c r="F32" s="243">
        <v>8</v>
      </c>
      <c r="G32" s="226" t="s">
        <v>6</v>
      </c>
      <c r="I32" s="244" t="s">
        <v>809</v>
      </c>
      <c r="J32" s="241">
        <f t="shared" si="0"/>
        <v>28</v>
      </c>
      <c r="K32" s="235" t="s">
        <v>6</v>
      </c>
    </row>
    <row r="33" spans="2:11">
      <c r="B33" s="240"/>
      <c r="C33" s="241"/>
      <c r="D33" s="235"/>
      <c r="E33" s="242"/>
      <c r="F33" s="243"/>
      <c r="I33" s="240"/>
      <c r="J33" s="241" t="str">
        <f t="shared" si="0"/>
        <v>-</v>
      </c>
      <c r="K33" s="235"/>
    </row>
    <row r="34" spans="2:11">
      <c r="B34" s="244"/>
      <c r="C34" s="241"/>
      <c r="D34" s="235"/>
      <c r="E34" s="245"/>
      <c r="F34" s="243"/>
      <c r="I34" s="244"/>
      <c r="J34" s="241" t="str">
        <f t="shared" si="0"/>
        <v>-</v>
      </c>
      <c r="K34" s="235"/>
    </row>
    <row r="35" spans="2:11">
      <c r="B35" s="244"/>
      <c r="C35" s="241"/>
      <c r="D35" s="235"/>
      <c r="E35" s="245" t="s">
        <v>810</v>
      </c>
      <c r="F35" s="243"/>
      <c r="I35" s="244" t="s">
        <v>810</v>
      </c>
      <c r="J35" s="241" t="str">
        <f t="shared" si="0"/>
        <v>-</v>
      </c>
      <c r="K35" s="235"/>
    </row>
    <row r="36" spans="2:11">
      <c r="B36" s="240"/>
      <c r="C36" s="241"/>
      <c r="D36" s="235"/>
      <c r="E36" s="242" t="s">
        <v>811</v>
      </c>
      <c r="F36" s="243"/>
      <c r="I36" s="240" t="s">
        <v>811</v>
      </c>
      <c r="J36" s="241" t="str">
        <f t="shared" si="0"/>
        <v>-</v>
      </c>
      <c r="K36" s="235"/>
    </row>
    <row r="37" spans="2:11">
      <c r="B37" s="244" t="s">
        <v>811</v>
      </c>
      <c r="C37" s="241"/>
      <c r="D37" s="235"/>
      <c r="E37" s="245" t="s">
        <v>812</v>
      </c>
      <c r="F37" s="243">
        <v>24</v>
      </c>
      <c r="G37" s="226" t="s">
        <v>6</v>
      </c>
      <c r="I37" s="244" t="s">
        <v>812</v>
      </c>
      <c r="J37" s="241">
        <f t="shared" si="0"/>
        <v>24</v>
      </c>
      <c r="K37" s="235" t="s">
        <v>6</v>
      </c>
    </row>
    <row r="38" spans="2:11">
      <c r="B38" s="244" t="s">
        <v>813</v>
      </c>
      <c r="C38" s="241">
        <v>54</v>
      </c>
      <c r="D38" s="235" t="s">
        <v>6</v>
      </c>
      <c r="E38" s="245" t="s">
        <v>813</v>
      </c>
      <c r="F38" s="243">
        <v>10</v>
      </c>
      <c r="G38" s="226" t="s">
        <v>6</v>
      </c>
      <c r="I38" s="244" t="s">
        <v>813</v>
      </c>
      <c r="J38" s="241">
        <f t="shared" si="0"/>
        <v>64</v>
      </c>
      <c r="K38" s="235" t="s">
        <v>6</v>
      </c>
    </row>
    <row r="39" spans="2:11">
      <c r="B39" s="244"/>
      <c r="C39" s="241"/>
      <c r="D39" s="235"/>
      <c r="E39" s="245" t="s">
        <v>180</v>
      </c>
      <c r="F39" s="243"/>
      <c r="I39" s="244" t="s">
        <v>180</v>
      </c>
      <c r="J39" s="241" t="str">
        <f t="shared" si="0"/>
        <v>-</v>
      </c>
      <c r="K39" s="235"/>
    </row>
    <row r="40" spans="2:11">
      <c r="B40" s="240"/>
      <c r="C40" s="241"/>
      <c r="D40" s="235"/>
      <c r="E40" s="242" t="s">
        <v>812</v>
      </c>
      <c r="F40" s="243">
        <v>10</v>
      </c>
      <c r="G40" s="226" t="s">
        <v>6</v>
      </c>
      <c r="I40" s="240" t="s">
        <v>812</v>
      </c>
      <c r="J40" s="241">
        <f t="shared" si="0"/>
        <v>10</v>
      </c>
      <c r="K40" s="235" t="s">
        <v>6</v>
      </c>
    </row>
    <row r="41" spans="2:11">
      <c r="B41" s="244"/>
      <c r="C41" s="241"/>
      <c r="D41" s="235"/>
      <c r="E41" s="245" t="s">
        <v>813</v>
      </c>
      <c r="F41" s="243">
        <v>15</v>
      </c>
      <c r="G41" s="226" t="s">
        <v>6</v>
      </c>
      <c r="I41" s="244" t="s">
        <v>813</v>
      </c>
      <c r="J41" s="241">
        <f t="shared" si="0"/>
        <v>15</v>
      </c>
      <c r="K41" s="235" t="s">
        <v>6</v>
      </c>
    </row>
    <row r="42" spans="2:11">
      <c r="B42" s="244"/>
      <c r="C42" s="241"/>
      <c r="D42" s="235"/>
      <c r="E42" s="245" t="s">
        <v>814</v>
      </c>
      <c r="F42" s="243"/>
      <c r="I42" s="244" t="s">
        <v>814</v>
      </c>
      <c r="J42" s="241" t="str">
        <f t="shared" si="0"/>
        <v>-</v>
      </c>
      <c r="K42" s="235"/>
    </row>
    <row r="43" spans="2:11">
      <c r="B43" s="246"/>
      <c r="C43" s="234"/>
      <c r="D43" s="235"/>
      <c r="E43" s="245" t="s">
        <v>815</v>
      </c>
      <c r="F43" s="243">
        <v>10</v>
      </c>
      <c r="G43" s="226" t="s">
        <v>6</v>
      </c>
      <c r="I43" s="244" t="s">
        <v>815</v>
      </c>
      <c r="J43" s="241">
        <f t="shared" si="0"/>
        <v>10</v>
      </c>
      <c r="K43" s="235" t="s">
        <v>6</v>
      </c>
    </row>
    <row r="44" spans="2:11">
      <c r="B44" s="246"/>
      <c r="C44" s="234"/>
      <c r="D44" s="235"/>
      <c r="E44" s="245"/>
      <c r="F44" s="243"/>
      <c r="I44" s="244"/>
      <c r="J44" s="241" t="str">
        <f t="shared" si="0"/>
        <v>-</v>
      </c>
      <c r="K44" s="235"/>
    </row>
    <row r="45" spans="2:11">
      <c r="B45" s="240" t="s">
        <v>212</v>
      </c>
      <c r="C45" s="241"/>
      <c r="D45" s="235"/>
      <c r="E45" s="245" t="s">
        <v>212</v>
      </c>
      <c r="F45" s="243"/>
      <c r="I45" s="244" t="s">
        <v>212</v>
      </c>
      <c r="J45" s="241" t="str">
        <f t="shared" si="0"/>
        <v>-</v>
      </c>
      <c r="K45" s="235"/>
    </row>
    <row r="46" spans="2:11">
      <c r="B46" s="244" t="s">
        <v>816</v>
      </c>
      <c r="C46" s="241"/>
      <c r="D46" s="235"/>
      <c r="E46" s="245" t="s">
        <v>817</v>
      </c>
      <c r="F46" s="243"/>
      <c r="I46" s="244" t="s">
        <v>817</v>
      </c>
      <c r="J46" s="241" t="str">
        <f t="shared" si="0"/>
        <v>-</v>
      </c>
      <c r="K46" s="235"/>
    </row>
    <row r="47" spans="2:11">
      <c r="B47" s="244" t="s">
        <v>818</v>
      </c>
      <c r="C47" s="241">
        <v>20</v>
      </c>
      <c r="D47" s="235" t="s">
        <v>6</v>
      </c>
      <c r="E47" s="242" t="s">
        <v>819</v>
      </c>
      <c r="F47" s="243">
        <v>12</v>
      </c>
      <c r="G47" s="226" t="s">
        <v>6</v>
      </c>
      <c r="I47" s="240" t="s">
        <v>819</v>
      </c>
      <c r="J47" s="241">
        <f t="shared" si="0"/>
        <v>32</v>
      </c>
      <c r="K47" s="235" t="s">
        <v>6</v>
      </c>
    </row>
    <row r="48" spans="2:11" ht="25.5">
      <c r="B48" s="244" t="s">
        <v>213</v>
      </c>
      <c r="C48" s="241"/>
      <c r="D48" s="235"/>
      <c r="E48" s="245" t="s">
        <v>213</v>
      </c>
      <c r="F48" s="243"/>
      <c r="I48" s="244" t="s">
        <v>213</v>
      </c>
      <c r="J48" s="241" t="str">
        <f t="shared" si="0"/>
        <v>-</v>
      </c>
      <c r="K48" s="235"/>
    </row>
    <row r="49" spans="2:11">
      <c r="E49" s="245" t="s">
        <v>820</v>
      </c>
      <c r="F49" s="243">
        <v>29</v>
      </c>
      <c r="G49" s="226" t="s">
        <v>6</v>
      </c>
      <c r="I49" s="244" t="s">
        <v>820</v>
      </c>
      <c r="J49" s="241">
        <f t="shared" si="0"/>
        <v>29</v>
      </c>
      <c r="K49" s="235" t="s">
        <v>6</v>
      </c>
    </row>
    <row r="50" spans="2:11">
      <c r="B50" s="244" t="s">
        <v>821</v>
      </c>
      <c r="C50" s="241">
        <v>5</v>
      </c>
      <c r="D50" s="235" t="s">
        <v>6</v>
      </c>
      <c r="E50" s="244" t="s">
        <v>821</v>
      </c>
      <c r="F50" s="237">
        <v>0</v>
      </c>
      <c r="I50" s="244" t="s">
        <v>821</v>
      </c>
      <c r="J50" s="241">
        <f t="shared" si="0"/>
        <v>5</v>
      </c>
      <c r="K50" s="235"/>
    </row>
    <row r="51" spans="2:11">
      <c r="B51" s="244" t="s">
        <v>822</v>
      </c>
      <c r="C51" s="234">
        <v>71</v>
      </c>
      <c r="D51" s="235" t="s">
        <v>6</v>
      </c>
      <c r="E51" s="245" t="s">
        <v>822</v>
      </c>
      <c r="F51" s="243">
        <v>108</v>
      </c>
      <c r="G51" s="226" t="s">
        <v>6</v>
      </c>
      <c r="I51" s="244" t="s">
        <v>822</v>
      </c>
      <c r="J51" s="241">
        <f t="shared" si="0"/>
        <v>179</v>
      </c>
      <c r="K51" s="235" t="s">
        <v>6</v>
      </c>
    </row>
    <row r="52" spans="2:11">
      <c r="B52" s="244" t="s">
        <v>823</v>
      </c>
      <c r="C52" s="241">
        <v>71</v>
      </c>
      <c r="D52" s="235" t="s">
        <v>6</v>
      </c>
      <c r="E52" s="245" t="s">
        <v>824</v>
      </c>
      <c r="F52" s="243">
        <v>108</v>
      </c>
      <c r="G52" s="226" t="s">
        <v>6</v>
      </c>
      <c r="I52" s="244" t="s">
        <v>824</v>
      </c>
      <c r="J52" s="241">
        <f t="shared" si="0"/>
        <v>179</v>
      </c>
      <c r="K52" s="235" t="s">
        <v>6</v>
      </c>
    </row>
    <row r="53" spans="2:11">
      <c r="E53" s="238"/>
      <c r="F53" s="237"/>
      <c r="I53" s="246"/>
      <c r="J53" s="241" t="str">
        <f t="shared" si="0"/>
        <v>-</v>
      </c>
      <c r="K53" s="235"/>
    </row>
    <row r="54" spans="2:11">
      <c r="B54" s="244" t="s">
        <v>822</v>
      </c>
      <c r="C54" s="234">
        <v>388</v>
      </c>
      <c r="D54" s="235" t="s">
        <v>6</v>
      </c>
      <c r="E54" s="245" t="s">
        <v>822</v>
      </c>
      <c r="F54" s="243">
        <v>969</v>
      </c>
      <c r="G54" s="226" t="s">
        <v>6</v>
      </c>
      <c r="I54" s="244" t="s">
        <v>822</v>
      </c>
      <c r="J54" s="241">
        <f t="shared" si="0"/>
        <v>1357</v>
      </c>
      <c r="K54" s="235" t="s">
        <v>6</v>
      </c>
    </row>
    <row r="55" spans="2:11">
      <c r="B55" s="244" t="s">
        <v>825</v>
      </c>
      <c r="C55" s="241">
        <v>388</v>
      </c>
      <c r="D55" s="235" t="s">
        <v>6</v>
      </c>
      <c r="E55" s="245" t="s">
        <v>825</v>
      </c>
      <c r="F55" s="243">
        <v>969</v>
      </c>
      <c r="G55" s="226" t="s">
        <v>6</v>
      </c>
      <c r="I55" s="244" t="s">
        <v>825</v>
      </c>
      <c r="J55" s="241">
        <f t="shared" si="0"/>
        <v>1357</v>
      </c>
      <c r="K55" s="235" t="s">
        <v>6</v>
      </c>
    </row>
    <row r="56" spans="2:11">
      <c r="B56" s="244"/>
      <c r="C56" s="241"/>
      <c r="D56" s="235"/>
      <c r="E56" s="245"/>
      <c r="F56" s="243"/>
      <c r="I56" s="244"/>
      <c r="J56" s="241" t="str">
        <f t="shared" si="0"/>
        <v>-</v>
      </c>
      <c r="K56" s="235"/>
    </row>
    <row r="57" spans="2:11">
      <c r="B57" s="244" t="s">
        <v>822</v>
      </c>
      <c r="C57" s="234">
        <v>4</v>
      </c>
      <c r="D57" s="235" t="s">
        <v>6</v>
      </c>
      <c r="E57" s="245" t="s">
        <v>822</v>
      </c>
      <c r="F57" s="237">
        <v>21</v>
      </c>
      <c r="G57" s="226" t="s">
        <v>6</v>
      </c>
      <c r="I57" s="244" t="s">
        <v>822</v>
      </c>
      <c r="J57" s="241">
        <f t="shared" si="0"/>
        <v>25</v>
      </c>
      <c r="K57" s="235" t="s">
        <v>6</v>
      </c>
    </row>
    <row r="58" spans="2:11">
      <c r="B58" s="244" t="s">
        <v>826</v>
      </c>
      <c r="C58" s="241">
        <v>4</v>
      </c>
      <c r="D58" s="235" t="s">
        <v>6</v>
      </c>
      <c r="E58" s="245" t="s">
        <v>826</v>
      </c>
      <c r="F58" s="243">
        <v>21</v>
      </c>
      <c r="G58" s="226" t="s">
        <v>6</v>
      </c>
      <c r="I58" s="244" t="s">
        <v>826</v>
      </c>
      <c r="J58" s="241">
        <f t="shared" si="0"/>
        <v>25</v>
      </c>
      <c r="K58" s="235" t="s">
        <v>6</v>
      </c>
    </row>
    <row r="59" spans="2:11">
      <c r="B59" s="244"/>
      <c r="C59" s="241"/>
      <c r="D59" s="235"/>
      <c r="E59" s="245"/>
      <c r="F59" s="243"/>
      <c r="I59" s="244"/>
      <c r="J59" s="241" t="str">
        <f t="shared" si="0"/>
        <v>-</v>
      </c>
      <c r="K59" s="235"/>
    </row>
    <row r="60" spans="2:11">
      <c r="B60" s="240" t="s">
        <v>215</v>
      </c>
      <c r="E60" s="242" t="s">
        <v>215</v>
      </c>
      <c r="F60" s="237"/>
      <c r="I60" s="240" t="s">
        <v>215</v>
      </c>
      <c r="J60" s="241" t="str">
        <f t="shared" si="0"/>
        <v>-</v>
      </c>
      <c r="K60" s="235"/>
    </row>
    <row r="61" spans="2:11" ht="25.5">
      <c r="B61" s="244" t="s">
        <v>216</v>
      </c>
      <c r="E61" s="245" t="s">
        <v>216</v>
      </c>
      <c r="F61" s="243"/>
      <c r="I61" s="244" t="s">
        <v>216</v>
      </c>
      <c r="J61" s="241" t="str">
        <f t="shared" si="0"/>
        <v>-</v>
      </c>
      <c r="K61" s="235"/>
    </row>
    <row r="62" spans="2:11">
      <c r="B62" s="244" t="s">
        <v>217</v>
      </c>
      <c r="C62" s="241">
        <v>40</v>
      </c>
      <c r="D62" s="235" t="s">
        <v>6</v>
      </c>
      <c r="E62" s="245" t="s">
        <v>217</v>
      </c>
      <c r="F62" s="243">
        <v>22</v>
      </c>
      <c r="G62" s="226" t="s">
        <v>6</v>
      </c>
      <c r="I62" s="244" t="s">
        <v>217</v>
      </c>
      <c r="J62" s="241">
        <f t="shared" si="0"/>
        <v>62</v>
      </c>
      <c r="K62" s="235" t="s">
        <v>6</v>
      </c>
    </row>
    <row r="63" spans="2:11">
      <c r="B63" s="244" t="s">
        <v>827</v>
      </c>
      <c r="C63" s="241">
        <v>5</v>
      </c>
      <c r="D63" s="235" t="s">
        <v>6</v>
      </c>
      <c r="E63" s="242" t="s">
        <v>827</v>
      </c>
      <c r="F63" s="243">
        <v>5</v>
      </c>
      <c r="G63" s="226" t="s">
        <v>6</v>
      </c>
      <c r="I63" s="240" t="s">
        <v>827</v>
      </c>
      <c r="J63" s="241">
        <f t="shared" si="0"/>
        <v>10</v>
      </c>
      <c r="K63" s="235" t="s">
        <v>6</v>
      </c>
    </row>
    <row r="64" spans="2:11">
      <c r="B64" s="244" t="s">
        <v>828</v>
      </c>
      <c r="C64" s="241">
        <v>11</v>
      </c>
      <c r="D64" s="235" t="s">
        <v>6</v>
      </c>
      <c r="E64" s="245" t="s">
        <v>828</v>
      </c>
      <c r="F64" s="243">
        <v>7</v>
      </c>
      <c r="G64" s="226" t="s">
        <v>6</v>
      </c>
      <c r="I64" s="244" t="s">
        <v>828</v>
      </c>
      <c r="J64" s="241">
        <f t="shared" si="0"/>
        <v>18</v>
      </c>
      <c r="K64" s="235" t="s">
        <v>6</v>
      </c>
    </row>
    <row r="65" spans="2:11">
      <c r="B65" s="244" t="s">
        <v>218</v>
      </c>
      <c r="C65" s="241">
        <v>4</v>
      </c>
      <c r="D65" s="235" t="s">
        <v>6</v>
      </c>
      <c r="E65" s="245" t="s">
        <v>218</v>
      </c>
      <c r="F65" s="243">
        <v>12</v>
      </c>
      <c r="G65" s="226" t="s">
        <v>6</v>
      </c>
      <c r="I65" s="244" t="s">
        <v>218</v>
      </c>
      <c r="J65" s="241">
        <f t="shared" si="0"/>
        <v>16</v>
      </c>
      <c r="K65" s="235" t="s">
        <v>6</v>
      </c>
    </row>
    <row r="66" spans="2:11">
      <c r="B66" s="246"/>
      <c r="C66" s="234"/>
      <c r="D66" s="235"/>
      <c r="E66" s="245" t="s">
        <v>829</v>
      </c>
      <c r="F66" s="243">
        <v>2</v>
      </c>
      <c r="G66" s="226" t="s">
        <v>6</v>
      </c>
      <c r="I66" s="244" t="s">
        <v>829</v>
      </c>
      <c r="J66" s="241">
        <f t="shared" si="0"/>
        <v>2</v>
      </c>
      <c r="K66" s="235" t="s">
        <v>6</v>
      </c>
    </row>
    <row r="67" spans="2:11">
      <c r="B67" s="244" t="s">
        <v>219</v>
      </c>
      <c r="C67" s="241">
        <v>7</v>
      </c>
      <c r="D67" s="235" t="s">
        <v>6</v>
      </c>
      <c r="E67" s="242" t="s">
        <v>219</v>
      </c>
      <c r="F67" s="243">
        <v>4</v>
      </c>
      <c r="G67" s="226" t="s">
        <v>6</v>
      </c>
      <c r="I67" s="240" t="s">
        <v>219</v>
      </c>
      <c r="J67" s="241">
        <f t="shared" si="0"/>
        <v>11</v>
      </c>
      <c r="K67" s="235" t="s">
        <v>6</v>
      </c>
    </row>
    <row r="68" spans="2:11">
      <c r="B68" s="246"/>
      <c r="C68" s="234"/>
      <c r="D68" s="235"/>
      <c r="E68" s="245" t="s">
        <v>830</v>
      </c>
      <c r="F68" s="243">
        <v>4</v>
      </c>
      <c r="G68" s="226" t="s">
        <v>6</v>
      </c>
      <c r="I68" s="244" t="s">
        <v>830</v>
      </c>
      <c r="J68" s="241">
        <f t="shared" si="0"/>
        <v>4</v>
      </c>
      <c r="K68" s="235" t="s">
        <v>6</v>
      </c>
    </row>
    <row r="69" spans="2:11">
      <c r="B69" s="244" t="s">
        <v>220</v>
      </c>
      <c r="C69" s="241">
        <v>1</v>
      </c>
      <c r="D69" s="235" t="s">
        <v>6</v>
      </c>
      <c r="E69" s="245" t="s">
        <v>220</v>
      </c>
      <c r="F69" s="243">
        <v>2</v>
      </c>
      <c r="G69" s="226" t="s">
        <v>6</v>
      </c>
      <c r="I69" s="244" t="s">
        <v>220</v>
      </c>
      <c r="J69" s="241">
        <f t="shared" si="0"/>
        <v>3</v>
      </c>
      <c r="K69" s="235" t="s">
        <v>6</v>
      </c>
    </row>
    <row r="70" spans="2:11">
      <c r="B70" s="246"/>
      <c r="C70" s="234"/>
      <c r="D70" s="235"/>
      <c r="E70" s="245" t="s">
        <v>831</v>
      </c>
      <c r="F70" s="243">
        <v>4</v>
      </c>
      <c r="G70" s="226" t="s">
        <v>6</v>
      </c>
      <c r="I70" s="244" t="s">
        <v>831</v>
      </c>
      <c r="J70" s="241">
        <f t="shared" si="0"/>
        <v>4</v>
      </c>
      <c r="K70" s="235" t="s">
        <v>6</v>
      </c>
    </row>
    <row r="71" spans="2:11">
      <c r="B71" s="246"/>
      <c r="C71" s="234"/>
      <c r="D71" s="235"/>
      <c r="E71" s="245" t="s">
        <v>832</v>
      </c>
      <c r="F71" s="243">
        <v>2</v>
      </c>
      <c r="G71" s="226" t="s">
        <v>6</v>
      </c>
      <c r="I71" s="244" t="s">
        <v>832</v>
      </c>
      <c r="J71" s="241">
        <f t="shared" si="0"/>
        <v>2</v>
      </c>
      <c r="K71" s="235" t="s">
        <v>6</v>
      </c>
    </row>
    <row r="72" spans="2:11">
      <c r="B72" s="246"/>
      <c r="C72" s="234"/>
      <c r="D72" s="235"/>
      <c r="E72" s="245"/>
      <c r="F72" s="243"/>
      <c r="I72" s="244"/>
      <c r="J72" s="241" t="str">
        <f t="shared" si="0"/>
        <v>-</v>
      </c>
      <c r="K72" s="235"/>
    </row>
    <row r="73" spans="2:11">
      <c r="B73" s="240" t="s">
        <v>221</v>
      </c>
      <c r="C73" s="241"/>
      <c r="D73" s="235"/>
      <c r="E73" s="245" t="s">
        <v>221</v>
      </c>
      <c r="F73" s="243"/>
      <c r="I73" s="244" t="s">
        <v>221</v>
      </c>
      <c r="J73" s="241" t="str">
        <f t="shared" ref="J73:J136" si="1">IF(F73="","-",F73+C73)</f>
        <v>-</v>
      </c>
      <c r="K73" s="235"/>
    </row>
    <row r="74" spans="2:11">
      <c r="B74" s="244" t="s">
        <v>222</v>
      </c>
      <c r="C74" s="241"/>
      <c r="D74" s="235"/>
      <c r="E74" s="245" t="s">
        <v>222</v>
      </c>
      <c r="F74" s="243"/>
      <c r="I74" s="244" t="s">
        <v>222</v>
      </c>
      <c r="J74" s="241" t="str">
        <f t="shared" si="1"/>
        <v>-</v>
      </c>
      <c r="K74" s="235"/>
    </row>
    <row r="75" spans="2:11">
      <c r="B75" s="244" t="s">
        <v>36</v>
      </c>
      <c r="C75" s="241">
        <v>230</v>
      </c>
      <c r="D75" s="235" t="s">
        <v>3</v>
      </c>
      <c r="E75" s="245" t="s">
        <v>36</v>
      </c>
      <c r="F75" s="243">
        <v>460</v>
      </c>
      <c r="G75" s="226" t="s">
        <v>3</v>
      </c>
      <c r="I75" s="244" t="s">
        <v>36</v>
      </c>
      <c r="J75" s="241">
        <f t="shared" si="1"/>
        <v>690</v>
      </c>
      <c r="K75" s="235" t="s">
        <v>3</v>
      </c>
    </row>
    <row r="76" spans="2:11">
      <c r="B76" s="244" t="s">
        <v>35</v>
      </c>
      <c r="C76" s="241">
        <v>780</v>
      </c>
      <c r="D76" s="235" t="s">
        <v>3</v>
      </c>
      <c r="E76" s="245" t="s">
        <v>35</v>
      </c>
      <c r="F76" s="243">
        <v>1200</v>
      </c>
      <c r="G76" s="226" t="s">
        <v>3</v>
      </c>
      <c r="I76" s="244" t="s">
        <v>35</v>
      </c>
      <c r="J76" s="241">
        <f t="shared" si="1"/>
        <v>1980</v>
      </c>
      <c r="K76" s="235" t="s">
        <v>3</v>
      </c>
    </row>
    <row r="77" spans="2:11">
      <c r="B77" s="244" t="s">
        <v>37</v>
      </c>
      <c r="C77" s="241"/>
      <c r="D77" s="235"/>
      <c r="E77" s="242" t="s">
        <v>37</v>
      </c>
      <c r="F77" s="243"/>
      <c r="I77" s="240" t="s">
        <v>37</v>
      </c>
      <c r="J77" s="241" t="str">
        <f t="shared" si="1"/>
        <v>-</v>
      </c>
      <c r="K77" s="235"/>
    </row>
    <row r="78" spans="2:11">
      <c r="B78" s="244" t="s">
        <v>34</v>
      </c>
      <c r="C78" s="241">
        <v>20</v>
      </c>
      <c r="D78" s="235" t="s">
        <v>3</v>
      </c>
      <c r="E78" s="245" t="s">
        <v>34</v>
      </c>
      <c r="F78" s="243">
        <v>6</v>
      </c>
      <c r="G78" s="226" t="s">
        <v>3</v>
      </c>
      <c r="I78" s="244" t="s">
        <v>34</v>
      </c>
      <c r="J78" s="241">
        <f t="shared" si="1"/>
        <v>26</v>
      </c>
      <c r="K78" s="235" t="s">
        <v>3</v>
      </c>
    </row>
    <row r="79" spans="2:11">
      <c r="B79" s="244" t="s">
        <v>223</v>
      </c>
      <c r="C79" s="241">
        <v>6</v>
      </c>
      <c r="D79" s="235" t="s">
        <v>3</v>
      </c>
      <c r="E79" s="245" t="s">
        <v>223</v>
      </c>
      <c r="F79" s="243">
        <v>24</v>
      </c>
      <c r="G79" s="226" t="s">
        <v>3</v>
      </c>
      <c r="I79" s="244" t="s">
        <v>223</v>
      </c>
      <c r="J79" s="241">
        <f t="shared" si="1"/>
        <v>30</v>
      </c>
      <c r="K79" s="235" t="s">
        <v>3</v>
      </c>
    </row>
    <row r="80" spans="2:11">
      <c r="B80" s="244" t="s">
        <v>133</v>
      </c>
      <c r="C80" s="241">
        <v>235</v>
      </c>
      <c r="D80" s="235" t="s">
        <v>3</v>
      </c>
      <c r="E80" s="245" t="s">
        <v>133</v>
      </c>
      <c r="F80" s="243">
        <v>175</v>
      </c>
      <c r="G80" s="226" t="s">
        <v>3</v>
      </c>
      <c r="I80" s="244" t="s">
        <v>133</v>
      </c>
      <c r="J80" s="241">
        <f t="shared" si="1"/>
        <v>410</v>
      </c>
      <c r="K80" s="235" t="s">
        <v>3</v>
      </c>
    </row>
    <row r="81" spans="2:11">
      <c r="B81" s="244"/>
      <c r="C81" s="241"/>
      <c r="D81" s="235"/>
      <c r="E81" s="245"/>
      <c r="F81" s="243"/>
      <c r="I81" s="244"/>
      <c r="J81" s="241" t="str">
        <f t="shared" si="1"/>
        <v>-</v>
      </c>
      <c r="K81" s="235"/>
    </row>
    <row r="82" spans="2:11">
      <c r="B82" s="240" t="s">
        <v>224</v>
      </c>
      <c r="C82" s="241"/>
      <c r="D82" s="235"/>
      <c r="E82" s="245" t="s">
        <v>224</v>
      </c>
      <c r="F82" s="243"/>
      <c r="I82" s="244" t="s">
        <v>224</v>
      </c>
      <c r="J82" s="241" t="str">
        <f t="shared" si="1"/>
        <v>-</v>
      </c>
      <c r="K82" s="235"/>
    </row>
    <row r="83" spans="2:11">
      <c r="B83" s="244" t="s">
        <v>833</v>
      </c>
      <c r="C83" s="241"/>
      <c r="D83" s="235"/>
      <c r="E83" s="245" t="s">
        <v>833</v>
      </c>
      <c r="F83" s="243"/>
      <c r="I83" s="244" t="s">
        <v>833</v>
      </c>
      <c r="J83" s="241" t="str">
        <f t="shared" si="1"/>
        <v>-</v>
      </c>
      <c r="K83" s="235"/>
    </row>
    <row r="84" spans="2:11">
      <c r="B84" s="244" t="s">
        <v>36</v>
      </c>
      <c r="C84" s="241">
        <v>70</v>
      </c>
      <c r="D84" s="235" t="s">
        <v>6</v>
      </c>
      <c r="E84" s="242" t="s">
        <v>36</v>
      </c>
      <c r="F84" s="243">
        <v>85</v>
      </c>
      <c r="G84" s="226" t="s">
        <v>6</v>
      </c>
      <c r="I84" s="240" t="s">
        <v>36</v>
      </c>
      <c r="J84" s="241">
        <f t="shared" si="1"/>
        <v>155</v>
      </c>
      <c r="K84" s="235" t="s">
        <v>6</v>
      </c>
    </row>
    <row r="85" spans="2:11">
      <c r="B85" s="244"/>
      <c r="C85" s="241"/>
      <c r="D85" s="235"/>
      <c r="E85" s="245" t="s">
        <v>34</v>
      </c>
      <c r="F85" s="243">
        <v>267</v>
      </c>
      <c r="G85" s="226" t="s">
        <v>6</v>
      </c>
      <c r="I85" s="244" t="s">
        <v>34</v>
      </c>
      <c r="J85" s="241">
        <f t="shared" si="1"/>
        <v>267</v>
      </c>
      <c r="K85" s="235" t="s">
        <v>6</v>
      </c>
    </row>
    <row r="86" spans="2:11">
      <c r="B86" s="244" t="s">
        <v>223</v>
      </c>
      <c r="C86" s="241">
        <v>435</v>
      </c>
      <c r="D86" s="235" t="s">
        <v>6</v>
      </c>
      <c r="E86" s="245" t="s">
        <v>223</v>
      </c>
      <c r="F86" s="243">
        <v>12</v>
      </c>
      <c r="G86" s="226" t="s">
        <v>6</v>
      </c>
      <c r="I86" s="244" t="s">
        <v>223</v>
      </c>
      <c r="J86" s="241">
        <f t="shared" si="1"/>
        <v>447</v>
      </c>
      <c r="K86" s="235" t="s">
        <v>6</v>
      </c>
    </row>
    <row r="87" spans="2:11">
      <c r="B87" s="244" t="s">
        <v>35</v>
      </c>
      <c r="C87" s="241">
        <v>1250</v>
      </c>
      <c r="D87" s="235" t="s">
        <v>6</v>
      </c>
      <c r="E87" s="242" t="s">
        <v>35</v>
      </c>
      <c r="F87" s="243">
        <v>1830</v>
      </c>
      <c r="G87" s="226" t="s">
        <v>6</v>
      </c>
      <c r="I87" s="240" t="s">
        <v>35</v>
      </c>
      <c r="J87" s="241">
        <f t="shared" si="1"/>
        <v>3080</v>
      </c>
      <c r="K87" s="235" t="s">
        <v>6</v>
      </c>
    </row>
    <row r="88" spans="2:11">
      <c r="B88" s="244"/>
      <c r="C88" s="241"/>
      <c r="D88" s="235"/>
      <c r="E88" s="242"/>
      <c r="F88" s="243"/>
      <c r="I88" s="240"/>
      <c r="J88" s="241" t="str">
        <f t="shared" si="1"/>
        <v>-</v>
      </c>
      <c r="K88" s="235"/>
    </row>
    <row r="89" spans="2:11">
      <c r="B89" s="244" t="s">
        <v>225</v>
      </c>
      <c r="C89" s="241"/>
      <c r="D89" s="235"/>
      <c r="E89" s="242" t="s">
        <v>225</v>
      </c>
      <c r="F89" s="243"/>
      <c r="I89" s="240" t="s">
        <v>225</v>
      </c>
      <c r="J89" s="241" t="str">
        <f t="shared" si="1"/>
        <v>-</v>
      </c>
      <c r="K89" s="235"/>
    </row>
    <row r="90" spans="2:11">
      <c r="B90" s="244" t="s">
        <v>36</v>
      </c>
      <c r="C90" s="241">
        <v>80</v>
      </c>
      <c r="D90" s="235" t="s">
        <v>704</v>
      </c>
      <c r="E90" s="245" t="s">
        <v>36</v>
      </c>
      <c r="F90" s="243">
        <v>116</v>
      </c>
      <c r="G90" s="226" t="s">
        <v>704</v>
      </c>
      <c r="I90" s="244" t="s">
        <v>36</v>
      </c>
      <c r="J90" s="241">
        <f t="shared" si="1"/>
        <v>196</v>
      </c>
      <c r="K90" s="235" t="s">
        <v>704</v>
      </c>
    </row>
    <row r="91" spans="2:11">
      <c r="B91" s="246"/>
      <c r="C91" s="234"/>
      <c r="D91" s="235"/>
      <c r="E91" s="245" t="s">
        <v>34</v>
      </c>
      <c r="F91" s="243">
        <v>300</v>
      </c>
      <c r="G91" s="226" t="s">
        <v>704</v>
      </c>
      <c r="I91" s="244" t="s">
        <v>34</v>
      </c>
      <c r="J91" s="241">
        <f t="shared" si="1"/>
        <v>300</v>
      </c>
      <c r="K91" s="235" t="s">
        <v>704</v>
      </c>
    </row>
    <row r="92" spans="2:11">
      <c r="B92" s="244" t="s">
        <v>223</v>
      </c>
      <c r="C92" s="241">
        <v>460</v>
      </c>
      <c r="D92" s="235" t="s">
        <v>704</v>
      </c>
      <c r="E92" s="245" t="s">
        <v>223</v>
      </c>
      <c r="F92" s="243">
        <v>13</v>
      </c>
      <c r="G92" s="226" t="s">
        <v>704</v>
      </c>
      <c r="I92" s="244" t="s">
        <v>223</v>
      </c>
      <c r="J92" s="241">
        <f t="shared" si="1"/>
        <v>473</v>
      </c>
      <c r="K92" s="235" t="s">
        <v>704</v>
      </c>
    </row>
    <row r="93" spans="2:11">
      <c r="B93" s="244" t="s">
        <v>35</v>
      </c>
      <c r="C93" s="241">
        <v>1680</v>
      </c>
      <c r="D93" s="235" t="s">
        <v>704</v>
      </c>
      <c r="E93" s="245" t="s">
        <v>35</v>
      </c>
      <c r="F93" s="243">
        <v>2435</v>
      </c>
      <c r="G93" s="226" t="s">
        <v>704</v>
      </c>
      <c r="I93" s="244" t="s">
        <v>35</v>
      </c>
      <c r="J93" s="241">
        <f t="shared" si="1"/>
        <v>4115</v>
      </c>
      <c r="K93" s="235" t="s">
        <v>704</v>
      </c>
    </row>
    <row r="94" spans="2:11">
      <c r="B94" s="244"/>
      <c r="C94" s="241"/>
      <c r="D94" s="235"/>
      <c r="E94" s="238"/>
      <c r="F94" s="237"/>
      <c r="I94" s="246"/>
      <c r="J94" s="241" t="str">
        <f t="shared" si="1"/>
        <v>-</v>
      </c>
      <c r="K94" s="235"/>
    </row>
    <row r="95" spans="2:11">
      <c r="B95" s="240" t="s">
        <v>226</v>
      </c>
      <c r="C95" s="241"/>
      <c r="D95" s="235"/>
      <c r="E95" s="238" t="s">
        <v>226</v>
      </c>
      <c r="F95" s="237"/>
      <c r="I95" s="246" t="s">
        <v>226</v>
      </c>
      <c r="J95" s="241" t="str">
        <f t="shared" si="1"/>
        <v>-</v>
      </c>
      <c r="K95" s="235"/>
    </row>
    <row r="96" spans="2:11">
      <c r="B96" s="244" t="s">
        <v>834</v>
      </c>
      <c r="C96" s="241"/>
      <c r="D96" s="235"/>
      <c r="E96" s="238" t="s">
        <v>834</v>
      </c>
      <c r="F96" s="237"/>
      <c r="I96" s="246" t="s">
        <v>834</v>
      </c>
      <c r="J96" s="241" t="str">
        <f t="shared" si="1"/>
        <v>-</v>
      </c>
      <c r="K96" s="235"/>
    </row>
    <row r="97" spans="2:11">
      <c r="B97" s="244" t="s">
        <v>835</v>
      </c>
      <c r="C97" s="241">
        <v>422</v>
      </c>
      <c r="D97" s="235" t="s">
        <v>6</v>
      </c>
      <c r="E97" s="238" t="s">
        <v>835</v>
      </c>
      <c r="F97" s="237">
        <v>591</v>
      </c>
      <c r="G97" s="226" t="s">
        <v>6</v>
      </c>
      <c r="I97" s="246" t="s">
        <v>835</v>
      </c>
      <c r="J97" s="241">
        <f t="shared" si="1"/>
        <v>1013</v>
      </c>
      <c r="K97" s="235" t="s">
        <v>6</v>
      </c>
    </row>
    <row r="98" spans="2:11">
      <c r="B98" s="244" t="s">
        <v>836</v>
      </c>
      <c r="C98" s="241"/>
      <c r="D98" s="235"/>
      <c r="E98" s="238" t="s">
        <v>836</v>
      </c>
      <c r="F98" s="237"/>
      <c r="I98" s="246" t="s">
        <v>836</v>
      </c>
      <c r="J98" s="241" t="str">
        <f t="shared" si="1"/>
        <v>-</v>
      </c>
      <c r="K98" s="235"/>
    </row>
    <row r="99" spans="2:11">
      <c r="B99" s="244" t="s">
        <v>837</v>
      </c>
      <c r="C99" s="241">
        <v>422</v>
      </c>
      <c r="D99" s="235" t="s">
        <v>6</v>
      </c>
      <c r="E99" s="238" t="s">
        <v>837</v>
      </c>
      <c r="F99" s="237">
        <v>591</v>
      </c>
      <c r="G99" s="226" t="s">
        <v>6</v>
      </c>
      <c r="I99" s="246" t="s">
        <v>837</v>
      </c>
      <c r="J99" s="241">
        <f t="shared" si="1"/>
        <v>1013</v>
      </c>
      <c r="K99" s="235" t="s">
        <v>6</v>
      </c>
    </row>
    <row r="100" spans="2:11">
      <c r="B100" s="240" t="s">
        <v>838</v>
      </c>
      <c r="C100" s="241"/>
      <c r="D100" s="235"/>
      <c r="E100" s="238" t="s">
        <v>838</v>
      </c>
      <c r="F100" s="237"/>
      <c r="I100" s="246" t="s">
        <v>838</v>
      </c>
      <c r="J100" s="241" t="str">
        <f t="shared" si="1"/>
        <v>-</v>
      </c>
      <c r="K100" s="235"/>
    </row>
    <row r="101" spans="2:11">
      <c r="B101" s="244" t="s">
        <v>839</v>
      </c>
      <c r="C101" s="241"/>
      <c r="D101" s="235"/>
      <c r="E101" s="238" t="s">
        <v>839</v>
      </c>
      <c r="F101" s="237"/>
      <c r="I101" s="246" t="s">
        <v>839</v>
      </c>
      <c r="J101" s="241" t="str">
        <f t="shared" si="1"/>
        <v>-</v>
      </c>
      <c r="K101" s="235"/>
    </row>
    <row r="102" spans="2:11">
      <c r="B102" s="244" t="s">
        <v>840</v>
      </c>
      <c r="C102" s="241">
        <v>422</v>
      </c>
      <c r="D102" s="235" t="s">
        <v>6</v>
      </c>
      <c r="E102" s="238" t="s">
        <v>840</v>
      </c>
      <c r="F102" s="237">
        <v>591</v>
      </c>
      <c r="G102" s="226" t="s">
        <v>6</v>
      </c>
      <c r="I102" s="246" t="s">
        <v>840</v>
      </c>
      <c r="J102" s="241">
        <f t="shared" si="1"/>
        <v>1013</v>
      </c>
      <c r="K102" s="235" t="s">
        <v>6</v>
      </c>
    </row>
    <row r="103" spans="2:11">
      <c r="B103" s="240" t="s">
        <v>227</v>
      </c>
      <c r="C103" s="241"/>
      <c r="D103" s="235"/>
      <c r="E103" s="240" t="s">
        <v>227</v>
      </c>
      <c r="F103" s="237"/>
      <c r="I103" s="240" t="s">
        <v>227</v>
      </c>
      <c r="J103" s="241" t="str">
        <f t="shared" si="1"/>
        <v>-</v>
      </c>
      <c r="K103" s="235"/>
    </row>
    <row r="104" spans="2:11">
      <c r="B104" s="246"/>
      <c r="C104" s="234"/>
      <c r="D104" s="235"/>
      <c r="E104" s="238" t="s">
        <v>841</v>
      </c>
      <c r="F104" s="237"/>
      <c r="I104" s="246" t="s">
        <v>841</v>
      </c>
      <c r="J104" s="241" t="str">
        <f t="shared" si="1"/>
        <v>-</v>
      </c>
      <c r="K104" s="235"/>
    </row>
    <row r="105" spans="2:11">
      <c r="B105" s="246"/>
      <c r="C105" s="234"/>
      <c r="D105" s="235"/>
      <c r="E105" s="238" t="s">
        <v>842</v>
      </c>
      <c r="F105" s="237">
        <v>1</v>
      </c>
      <c r="G105" s="226" t="s">
        <v>6</v>
      </c>
      <c r="I105" s="246" t="s">
        <v>842</v>
      </c>
      <c r="J105" s="241">
        <f t="shared" si="1"/>
        <v>1</v>
      </c>
      <c r="K105" s="235" t="s">
        <v>6</v>
      </c>
    </row>
    <row r="106" spans="2:11">
      <c r="B106" s="246"/>
      <c r="C106" s="234"/>
      <c r="D106" s="235"/>
      <c r="E106" s="238"/>
      <c r="F106" s="237"/>
      <c r="I106" s="246"/>
      <c r="J106" s="241" t="str">
        <f t="shared" si="1"/>
        <v>-</v>
      </c>
      <c r="K106" s="235"/>
    </row>
    <row r="107" spans="2:11">
      <c r="B107" s="246"/>
      <c r="C107" s="234"/>
      <c r="D107" s="235"/>
      <c r="E107" s="238" t="s">
        <v>843</v>
      </c>
      <c r="F107" s="237"/>
      <c r="I107" s="246" t="s">
        <v>843</v>
      </c>
      <c r="J107" s="241" t="str">
        <f t="shared" si="1"/>
        <v>-</v>
      </c>
      <c r="K107" s="235"/>
    </row>
    <row r="108" spans="2:11">
      <c r="B108" s="246"/>
      <c r="C108" s="234"/>
      <c r="D108" s="235"/>
      <c r="E108" s="238" t="s">
        <v>844</v>
      </c>
      <c r="F108" s="237">
        <v>1</v>
      </c>
      <c r="G108" s="226" t="s">
        <v>6</v>
      </c>
      <c r="I108" s="246" t="s">
        <v>844</v>
      </c>
      <c r="J108" s="241">
        <f t="shared" si="1"/>
        <v>1</v>
      </c>
      <c r="K108" s="235" t="s">
        <v>6</v>
      </c>
    </row>
    <row r="109" spans="2:11">
      <c r="B109" s="246"/>
      <c r="C109" s="234"/>
      <c r="D109" s="235"/>
      <c r="E109" s="238" t="s">
        <v>845</v>
      </c>
      <c r="F109" s="237"/>
      <c r="I109" s="246" t="s">
        <v>845</v>
      </c>
      <c r="J109" s="241" t="str">
        <f t="shared" si="1"/>
        <v>-</v>
      </c>
      <c r="K109" s="235"/>
    </row>
    <row r="110" spans="2:11">
      <c r="B110" s="246"/>
      <c r="C110" s="234"/>
      <c r="D110" s="235"/>
      <c r="E110" s="238" t="s">
        <v>34</v>
      </c>
      <c r="F110" s="237">
        <v>1</v>
      </c>
      <c r="G110" s="226" t="s">
        <v>6</v>
      </c>
      <c r="I110" s="246" t="s">
        <v>34</v>
      </c>
      <c r="J110" s="241">
        <f t="shared" si="1"/>
        <v>1</v>
      </c>
      <c r="K110" s="235" t="s">
        <v>6</v>
      </c>
    </row>
    <row r="111" spans="2:11">
      <c r="B111" s="246"/>
      <c r="C111" s="234"/>
      <c r="D111" s="235"/>
      <c r="E111" s="238"/>
      <c r="F111" s="237"/>
      <c r="I111" s="246"/>
      <c r="J111" s="241" t="str">
        <f t="shared" si="1"/>
        <v>-</v>
      </c>
      <c r="K111" s="235"/>
    </row>
    <row r="112" spans="2:11" ht="25.5">
      <c r="B112" s="244" t="s">
        <v>229</v>
      </c>
      <c r="C112" s="241"/>
      <c r="D112" s="235"/>
      <c r="E112" s="244" t="s">
        <v>229</v>
      </c>
      <c r="I112" s="244" t="s">
        <v>229</v>
      </c>
      <c r="J112" s="241" t="str">
        <f t="shared" si="1"/>
        <v>-</v>
      </c>
      <c r="K112" s="235"/>
    </row>
    <row r="113" spans="2:11">
      <c r="B113" s="244" t="s">
        <v>230</v>
      </c>
      <c r="C113" s="241">
        <v>2</v>
      </c>
      <c r="D113" s="235" t="s">
        <v>6</v>
      </c>
      <c r="E113" s="244" t="s">
        <v>230</v>
      </c>
      <c r="F113" s="229">
        <v>0</v>
      </c>
      <c r="I113" s="244" t="s">
        <v>230</v>
      </c>
      <c r="J113" s="241">
        <f t="shared" si="1"/>
        <v>2</v>
      </c>
      <c r="K113" s="235"/>
    </row>
    <row r="114" spans="2:11">
      <c r="B114" s="246"/>
      <c r="C114" s="234"/>
      <c r="D114" s="235"/>
      <c r="E114" s="246"/>
      <c r="I114" s="246"/>
      <c r="J114" s="241" t="str">
        <f t="shared" si="1"/>
        <v>-</v>
      </c>
      <c r="K114" s="235"/>
    </row>
    <row r="115" spans="2:11">
      <c r="B115" s="244" t="s">
        <v>231</v>
      </c>
      <c r="C115" s="241">
        <v>1</v>
      </c>
      <c r="D115" s="235" t="s">
        <v>6</v>
      </c>
      <c r="E115" s="244" t="s">
        <v>231</v>
      </c>
      <c r="F115" s="229">
        <v>0</v>
      </c>
      <c r="I115" s="244" t="s">
        <v>231</v>
      </c>
      <c r="J115" s="241">
        <f t="shared" si="1"/>
        <v>1</v>
      </c>
      <c r="K115" s="235"/>
    </row>
    <row r="116" spans="2:11">
      <c r="B116" s="246"/>
      <c r="C116" s="234"/>
      <c r="D116" s="235"/>
      <c r="E116" s="238" t="s">
        <v>846</v>
      </c>
      <c r="F116" s="237"/>
      <c r="I116" s="246" t="s">
        <v>846</v>
      </c>
      <c r="J116" s="241" t="str">
        <f t="shared" si="1"/>
        <v>-</v>
      </c>
      <c r="K116" s="235"/>
    </row>
    <row r="117" spans="2:11">
      <c r="E117" s="238" t="s">
        <v>847</v>
      </c>
      <c r="F117" s="237"/>
      <c r="I117" s="246" t="s">
        <v>847</v>
      </c>
      <c r="J117" s="241" t="str">
        <f t="shared" si="1"/>
        <v>-</v>
      </c>
      <c r="K117" s="235"/>
    </row>
    <row r="118" spans="2:11">
      <c r="E118" s="238" t="s">
        <v>848</v>
      </c>
      <c r="F118" s="237">
        <v>1</v>
      </c>
      <c r="G118" s="226" t="s">
        <v>6</v>
      </c>
      <c r="I118" s="246" t="s">
        <v>848</v>
      </c>
      <c r="J118" s="241">
        <f t="shared" si="1"/>
        <v>1</v>
      </c>
      <c r="K118" s="235" t="s">
        <v>6</v>
      </c>
    </row>
    <row r="119" spans="2:11">
      <c r="B119" s="244" t="s">
        <v>232</v>
      </c>
      <c r="C119" s="241"/>
      <c r="D119" s="235"/>
      <c r="E119" s="238" t="s">
        <v>232</v>
      </c>
      <c r="F119" s="237"/>
      <c r="I119" s="246" t="s">
        <v>232</v>
      </c>
      <c r="J119" s="241" t="str">
        <f t="shared" si="1"/>
        <v>-</v>
      </c>
      <c r="K119" s="235"/>
    </row>
    <row r="120" spans="2:11">
      <c r="B120" s="247" t="s">
        <v>233</v>
      </c>
      <c r="C120" s="248">
        <v>2</v>
      </c>
      <c r="D120" s="249" t="s">
        <v>6</v>
      </c>
      <c r="E120" s="250" t="s">
        <v>233</v>
      </c>
      <c r="F120" s="251">
        <v>4</v>
      </c>
      <c r="G120" s="226" t="s">
        <v>6</v>
      </c>
      <c r="I120" s="246" t="s">
        <v>233</v>
      </c>
      <c r="J120" s="241">
        <f t="shared" si="1"/>
        <v>6</v>
      </c>
      <c r="K120" s="235" t="s">
        <v>6</v>
      </c>
    </row>
    <row r="121" spans="2:11">
      <c r="B121" s="252"/>
      <c r="C121" s="253"/>
      <c r="D121" s="252"/>
      <c r="E121" s="252"/>
      <c r="F121" s="253"/>
      <c r="I121" s="246"/>
      <c r="J121" s="241" t="str">
        <f t="shared" si="1"/>
        <v>-</v>
      </c>
      <c r="K121" s="235"/>
    </row>
    <row r="122" spans="2:11">
      <c r="B122" s="252"/>
      <c r="C122" s="253"/>
      <c r="D122" s="252"/>
      <c r="E122" s="252"/>
      <c r="F122" s="253"/>
      <c r="I122" s="246"/>
      <c r="J122" s="241" t="str">
        <f t="shared" si="1"/>
        <v>-</v>
      </c>
      <c r="K122" s="235"/>
    </row>
    <row r="123" spans="2:11">
      <c r="B123" s="252"/>
      <c r="C123" s="253">
        <v>0</v>
      </c>
      <c r="D123" s="252"/>
      <c r="E123" s="254" t="s">
        <v>849</v>
      </c>
      <c r="F123" s="255"/>
      <c r="I123" s="246" t="s">
        <v>849</v>
      </c>
      <c r="J123" s="241" t="str">
        <f t="shared" si="1"/>
        <v>-</v>
      </c>
      <c r="K123" s="235"/>
    </row>
    <row r="124" spans="2:11">
      <c r="B124" s="252"/>
      <c r="C124" s="253">
        <v>0</v>
      </c>
      <c r="D124" s="252"/>
      <c r="E124" s="254"/>
      <c r="F124" s="255"/>
      <c r="I124" s="246"/>
      <c r="J124" s="241" t="str">
        <f t="shared" si="1"/>
        <v>-</v>
      </c>
      <c r="K124" s="235"/>
    </row>
    <row r="125" spans="2:11">
      <c r="B125" s="252"/>
      <c r="C125" s="253">
        <v>0</v>
      </c>
      <c r="D125" s="252"/>
      <c r="E125" s="254" t="s">
        <v>39</v>
      </c>
      <c r="F125" s="255"/>
      <c r="I125" s="246" t="s">
        <v>39</v>
      </c>
      <c r="J125" s="241" t="str">
        <f t="shared" si="1"/>
        <v>-</v>
      </c>
      <c r="K125" s="235"/>
    </row>
    <row r="126" spans="2:11">
      <c r="B126" s="252"/>
      <c r="C126" s="253">
        <v>0</v>
      </c>
      <c r="D126" s="252"/>
      <c r="E126" s="254" t="s">
        <v>850</v>
      </c>
      <c r="F126" s="255"/>
      <c r="I126" s="246" t="s">
        <v>850</v>
      </c>
      <c r="J126" s="241" t="str">
        <f t="shared" si="1"/>
        <v>-</v>
      </c>
      <c r="K126" s="235"/>
    </row>
    <row r="127" spans="2:11">
      <c r="B127" s="252"/>
      <c r="C127" s="253">
        <v>0</v>
      </c>
      <c r="D127" s="252"/>
      <c r="E127" s="254" t="s">
        <v>851</v>
      </c>
      <c r="F127" s="255">
        <v>65</v>
      </c>
      <c r="G127" s="226" t="s">
        <v>6</v>
      </c>
      <c r="I127" s="246" t="s">
        <v>851</v>
      </c>
      <c r="J127" s="241">
        <f t="shared" si="1"/>
        <v>65</v>
      </c>
      <c r="K127" s="235" t="s">
        <v>6</v>
      </c>
    </row>
    <row r="128" spans="2:11">
      <c r="B128" s="252"/>
      <c r="C128" s="253">
        <v>0</v>
      </c>
      <c r="D128" s="252"/>
      <c r="E128" s="254" t="s">
        <v>852</v>
      </c>
      <c r="F128" s="255"/>
      <c r="I128" s="246" t="s">
        <v>852</v>
      </c>
      <c r="J128" s="241" t="str">
        <f t="shared" si="1"/>
        <v>-</v>
      </c>
      <c r="K128" s="235"/>
    </row>
    <row r="129" spans="2:11">
      <c r="B129" s="252"/>
      <c r="C129" s="253">
        <v>0</v>
      </c>
      <c r="D129" s="252"/>
      <c r="E129" s="254" t="s">
        <v>853</v>
      </c>
      <c r="F129" s="255"/>
      <c r="I129" s="246" t="s">
        <v>853</v>
      </c>
      <c r="J129" s="241" t="str">
        <f t="shared" si="1"/>
        <v>-</v>
      </c>
      <c r="K129" s="235"/>
    </row>
    <row r="130" spans="2:11">
      <c r="B130" s="252"/>
      <c r="C130" s="253">
        <v>0</v>
      </c>
      <c r="D130" s="252"/>
      <c r="E130" s="254" t="s">
        <v>854</v>
      </c>
      <c r="F130" s="255">
        <v>2155</v>
      </c>
      <c r="G130" s="226" t="s">
        <v>6</v>
      </c>
      <c r="I130" s="246" t="s">
        <v>854</v>
      </c>
      <c r="J130" s="241">
        <f t="shared" si="1"/>
        <v>2155</v>
      </c>
      <c r="K130" s="235" t="s">
        <v>6</v>
      </c>
    </row>
    <row r="131" spans="2:11">
      <c r="B131" s="252"/>
      <c r="C131" s="253">
        <v>0</v>
      </c>
      <c r="D131" s="252"/>
      <c r="E131" s="254" t="s">
        <v>855</v>
      </c>
      <c r="F131" s="255">
        <v>320</v>
      </c>
      <c r="G131" s="226" t="s">
        <v>6</v>
      </c>
      <c r="I131" s="246" t="s">
        <v>855</v>
      </c>
      <c r="J131" s="241">
        <f t="shared" si="1"/>
        <v>320</v>
      </c>
      <c r="K131" s="235" t="s">
        <v>6</v>
      </c>
    </row>
    <row r="132" spans="2:11">
      <c r="B132" s="252"/>
      <c r="C132" s="253">
        <v>0</v>
      </c>
      <c r="D132" s="252"/>
      <c r="E132" s="254" t="s">
        <v>856</v>
      </c>
      <c r="F132" s="255"/>
      <c r="I132" s="246" t="s">
        <v>856</v>
      </c>
      <c r="J132" s="241" t="str">
        <f t="shared" si="1"/>
        <v>-</v>
      </c>
      <c r="K132" s="235"/>
    </row>
    <row r="133" spans="2:11">
      <c r="B133" s="252"/>
      <c r="C133" s="253">
        <v>0</v>
      </c>
      <c r="D133" s="252"/>
      <c r="E133" s="254" t="s">
        <v>857</v>
      </c>
      <c r="F133" s="255">
        <v>130</v>
      </c>
      <c r="G133" s="226" t="s">
        <v>6</v>
      </c>
      <c r="I133" s="246" t="s">
        <v>857</v>
      </c>
      <c r="J133" s="241">
        <f t="shared" si="1"/>
        <v>130</v>
      </c>
      <c r="K133" s="235" t="s">
        <v>6</v>
      </c>
    </row>
    <row r="134" spans="2:11">
      <c r="B134" s="252"/>
      <c r="C134" s="253">
        <v>0</v>
      </c>
      <c r="D134" s="252"/>
      <c r="E134" s="254" t="s">
        <v>858</v>
      </c>
      <c r="F134" s="255"/>
      <c r="I134" s="246" t="s">
        <v>858</v>
      </c>
      <c r="J134" s="241" t="str">
        <f t="shared" si="1"/>
        <v>-</v>
      </c>
      <c r="K134" s="235"/>
    </row>
    <row r="135" spans="2:11">
      <c r="B135" s="252"/>
      <c r="C135" s="253">
        <v>0</v>
      </c>
      <c r="D135" s="252"/>
      <c r="E135" s="254" t="s">
        <v>859</v>
      </c>
      <c r="F135" s="255">
        <v>130</v>
      </c>
      <c r="G135" s="226" t="s">
        <v>6</v>
      </c>
      <c r="I135" s="246" t="s">
        <v>859</v>
      </c>
      <c r="J135" s="241">
        <f t="shared" si="1"/>
        <v>130</v>
      </c>
      <c r="K135" s="235" t="s">
        <v>6</v>
      </c>
    </row>
    <row r="136" spans="2:11">
      <c r="B136" s="252"/>
      <c r="C136" s="253">
        <v>0</v>
      </c>
      <c r="D136" s="252"/>
      <c r="E136" s="254" t="s">
        <v>860</v>
      </c>
      <c r="F136" s="255"/>
      <c r="I136" s="246" t="s">
        <v>860</v>
      </c>
      <c r="J136" s="241" t="str">
        <f t="shared" si="1"/>
        <v>-</v>
      </c>
      <c r="K136" s="235"/>
    </row>
    <row r="137" spans="2:11">
      <c r="B137" s="252"/>
      <c r="C137" s="253">
        <v>0</v>
      </c>
      <c r="D137" s="252"/>
      <c r="E137" s="254" t="s">
        <v>861</v>
      </c>
      <c r="F137" s="255">
        <v>320</v>
      </c>
      <c r="G137" s="226" t="s">
        <v>6</v>
      </c>
      <c r="I137" s="246" t="s">
        <v>861</v>
      </c>
      <c r="J137" s="241">
        <f t="shared" ref="J137:J200" si="2">IF(F137="","-",F137+C137)</f>
        <v>320</v>
      </c>
      <c r="K137" s="235" t="s">
        <v>6</v>
      </c>
    </row>
    <row r="138" spans="2:11">
      <c r="B138" s="252"/>
      <c r="C138" s="253">
        <v>0</v>
      </c>
      <c r="D138" s="252"/>
      <c r="E138" s="254" t="s">
        <v>862</v>
      </c>
      <c r="F138" s="255"/>
      <c r="I138" s="246" t="s">
        <v>862</v>
      </c>
      <c r="J138" s="241" t="str">
        <f t="shared" si="2"/>
        <v>-</v>
      </c>
      <c r="K138" s="235"/>
    </row>
    <row r="139" spans="2:11">
      <c r="B139" s="252"/>
      <c r="C139" s="253">
        <v>0</v>
      </c>
      <c r="D139" s="252"/>
      <c r="E139" s="254" t="s">
        <v>863</v>
      </c>
      <c r="F139" s="255">
        <v>900</v>
      </c>
      <c r="G139" s="226" t="s">
        <v>6</v>
      </c>
      <c r="I139" s="246" t="s">
        <v>863</v>
      </c>
      <c r="J139" s="241">
        <f t="shared" si="2"/>
        <v>900</v>
      </c>
      <c r="K139" s="235" t="s">
        <v>6</v>
      </c>
    </row>
    <row r="140" spans="2:11">
      <c r="B140" s="252"/>
      <c r="C140" s="253">
        <v>0</v>
      </c>
      <c r="D140" s="252"/>
      <c r="E140" s="254" t="s">
        <v>864</v>
      </c>
      <c r="F140" s="255"/>
      <c r="I140" s="246" t="s">
        <v>864</v>
      </c>
      <c r="J140" s="241" t="str">
        <f t="shared" si="2"/>
        <v>-</v>
      </c>
      <c r="K140" s="235"/>
    </row>
    <row r="141" spans="2:11">
      <c r="B141" s="252"/>
      <c r="C141" s="253">
        <v>0</v>
      </c>
      <c r="D141" s="252"/>
      <c r="E141" s="254" t="s">
        <v>854</v>
      </c>
      <c r="F141" s="255">
        <v>1270</v>
      </c>
      <c r="G141" s="226" t="s">
        <v>6</v>
      </c>
      <c r="I141" s="246" t="s">
        <v>854</v>
      </c>
      <c r="J141" s="241">
        <f t="shared" si="2"/>
        <v>1270</v>
      </c>
      <c r="K141" s="235" t="s">
        <v>6</v>
      </c>
    </row>
    <row r="142" spans="2:11">
      <c r="B142" s="252"/>
      <c r="C142" s="253">
        <v>0</v>
      </c>
      <c r="D142" s="252"/>
      <c r="E142" s="254" t="s">
        <v>855</v>
      </c>
      <c r="F142" s="255">
        <v>320</v>
      </c>
      <c r="G142" s="226" t="s">
        <v>6</v>
      </c>
      <c r="I142" s="246" t="s">
        <v>855</v>
      </c>
      <c r="J142" s="241">
        <f t="shared" si="2"/>
        <v>320</v>
      </c>
      <c r="K142" s="235" t="s">
        <v>6</v>
      </c>
    </row>
    <row r="143" spans="2:11">
      <c r="B143" s="252"/>
      <c r="C143" s="253">
        <v>0</v>
      </c>
      <c r="D143" s="252"/>
      <c r="E143" s="254" t="s">
        <v>865</v>
      </c>
      <c r="F143" s="255"/>
      <c r="I143" s="246" t="s">
        <v>865</v>
      </c>
      <c r="J143" s="241" t="str">
        <f t="shared" si="2"/>
        <v>-</v>
      </c>
      <c r="K143" s="235"/>
    </row>
    <row r="144" spans="2:11">
      <c r="B144" s="252"/>
      <c r="C144" s="253">
        <v>0</v>
      </c>
      <c r="D144" s="252"/>
      <c r="E144" s="254" t="s">
        <v>866</v>
      </c>
      <c r="F144" s="255">
        <v>320</v>
      </c>
      <c r="G144" s="226" t="s">
        <v>6</v>
      </c>
      <c r="I144" s="246" t="s">
        <v>866</v>
      </c>
      <c r="J144" s="241">
        <f t="shared" si="2"/>
        <v>320</v>
      </c>
      <c r="K144" s="235" t="s">
        <v>6</v>
      </c>
    </row>
    <row r="145" spans="2:11">
      <c r="B145" s="252"/>
      <c r="C145" s="253">
        <v>0</v>
      </c>
      <c r="D145" s="252"/>
      <c r="E145" s="254" t="s">
        <v>867</v>
      </c>
      <c r="F145" s="255"/>
      <c r="I145" s="246" t="s">
        <v>867</v>
      </c>
      <c r="J145" s="241" t="str">
        <f t="shared" si="2"/>
        <v>-</v>
      </c>
      <c r="K145" s="235"/>
    </row>
    <row r="146" spans="2:11">
      <c r="B146" s="252"/>
      <c r="C146" s="253">
        <v>0</v>
      </c>
      <c r="D146" s="252"/>
      <c r="E146" s="254" t="s">
        <v>868</v>
      </c>
      <c r="F146" s="255">
        <v>320</v>
      </c>
      <c r="G146" s="226" t="s">
        <v>6</v>
      </c>
      <c r="I146" s="246" t="s">
        <v>868</v>
      </c>
      <c r="J146" s="241">
        <f t="shared" si="2"/>
        <v>320</v>
      </c>
      <c r="K146" s="235" t="s">
        <v>6</v>
      </c>
    </row>
    <row r="147" spans="2:11">
      <c r="B147" s="252"/>
      <c r="C147" s="253">
        <v>0</v>
      </c>
      <c r="D147" s="252"/>
      <c r="E147" s="254" t="s">
        <v>869</v>
      </c>
      <c r="F147" s="255"/>
      <c r="I147" s="246" t="s">
        <v>869</v>
      </c>
      <c r="J147" s="241" t="str">
        <f t="shared" si="2"/>
        <v>-</v>
      </c>
      <c r="K147" s="235"/>
    </row>
    <row r="148" spans="2:11">
      <c r="B148" s="252"/>
      <c r="C148" s="253">
        <v>0</v>
      </c>
      <c r="D148" s="252"/>
      <c r="E148" s="254" t="s">
        <v>175</v>
      </c>
      <c r="F148" s="255"/>
      <c r="I148" s="246" t="s">
        <v>175</v>
      </c>
      <c r="J148" s="241" t="str">
        <f t="shared" si="2"/>
        <v>-</v>
      </c>
      <c r="K148" s="235"/>
    </row>
    <row r="149" spans="2:11">
      <c r="B149" s="252"/>
      <c r="C149" s="253">
        <v>0</v>
      </c>
      <c r="D149" s="252"/>
      <c r="E149" s="254" t="s">
        <v>176</v>
      </c>
      <c r="F149" s="255">
        <v>6</v>
      </c>
      <c r="G149" s="226" t="s">
        <v>6</v>
      </c>
      <c r="I149" s="246" t="s">
        <v>176</v>
      </c>
      <c r="J149" s="241">
        <f t="shared" si="2"/>
        <v>6</v>
      </c>
      <c r="K149" s="235" t="s">
        <v>6</v>
      </c>
    </row>
    <row r="150" spans="2:11">
      <c r="B150" s="252"/>
      <c r="C150" s="253">
        <v>0</v>
      </c>
      <c r="D150" s="252"/>
      <c r="E150" s="254" t="s">
        <v>809</v>
      </c>
      <c r="F150" s="255">
        <v>6</v>
      </c>
      <c r="G150" s="226" t="s">
        <v>6</v>
      </c>
      <c r="I150" s="246" t="s">
        <v>809</v>
      </c>
      <c r="J150" s="241">
        <f t="shared" si="2"/>
        <v>6</v>
      </c>
      <c r="K150" s="235" t="s">
        <v>6</v>
      </c>
    </row>
    <row r="151" spans="2:11">
      <c r="B151" s="252"/>
      <c r="C151" s="253">
        <v>0</v>
      </c>
      <c r="D151" s="252"/>
      <c r="E151" s="254" t="s">
        <v>177</v>
      </c>
      <c r="F151" s="255"/>
      <c r="I151" s="246" t="s">
        <v>177</v>
      </c>
      <c r="J151" s="241" t="str">
        <f t="shared" si="2"/>
        <v>-</v>
      </c>
      <c r="K151" s="235"/>
    </row>
    <row r="152" spans="2:11">
      <c r="B152" s="252"/>
      <c r="C152" s="253">
        <v>0</v>
      </c>
      <c r="D152" s="252"/>
      <c r="E152" s="254" t="s">
        <v>178</v>
      </c>
      <c r="F152" s="255"/>
      <c r="I152" s="246" t="s">
        <v>178</v>
      </c>
      <c r="J152" s="241" t="str">
        <f t="shared" si="2"/>
        <v>-</v>
      </c>
      <c r="K152" s="235"/>
    </row>
    <row r="153" spans="2:11">
      <c r="B153" s="252"/>
      <c r="C153" s="253">
        <v>0</v>
      </c>
      <c r="D153" s="252"/>
      <c r="E153" s="254" t="s">
        <v>179</v>
      </c>
      <c r="F153" s="255">
        <v>11</v>
      </c>
      <c r="G153" s="226" t="s">
        <v>6</v>
      </c>
      <c r="I153" s="246" t="s">
        <v>179</v>
      </c>
      <c r="J153" s="241">
        <f t="shared" si="2"/>
        <v>11</v>
      </c>
      <c r="K153" s="235" t="s">
        <v>6</v>
      </c>
    </row>
    <row r="154" spans="2:11">
      <c r="B154" s="252"/>
      <c r="C154" s="253">
        <v>0</v>
      </c>
      <c r="D154" s="252"/>
      <c r="E154" s="254" t="s">
        <v>180</v>
      </c>
      <c r="F154" s="255"/>
      <c r="I154" s="246" t="s">
        <v>180</v>
      </c>
      <c r="J154" s="241" t="str">
        <f t="shared" si="2"/>
        <v>-</v>
      </c>
      <c r="K154" s="235"/>
    </row>
    <row r="155" spans="2:11">
      <c r="B155" s="252"/>
      <c r="C155" s="253">
        <v>0</v>
      </c>
      <c r="D155" s="252"/>
      <c r="E155" s="254" t="s">
        <v>870</v>
      </c>
      <c r="F155" s="255">
        <v>63</v>
      </c>
      <c r="G155" s="226" t="s">
        <v>6</v>
      </c>
      <c r="I155" s="246" t="s">
        <v>870</v>
      </c>
      <c r="J155" s="241">
        <f t="shared" si="2"/>
        <v>63</v>
      </c>
      <c r="K155" s="235" t="s">
        <v>6</v>
      </c>
    </row>
    <row r="156" spans="2:11">
      <c r="B156" s="252"/>
      <c r="C156" s="253">
        <v>0</v>
      </c>
      <c r="D156" s="252"/>
      <c r="E156" s="254" t="s">
        <v>871</v>
      </c>
      <c r="F156" s="255"/>
      <c r="I156" s="246" t="s">
        <v>871</v>
      </c>
      <c r="J156" s="241" t="str">
        <f t="shared" si="2"/>
        <v>-</v>
      </c>
      <c r="K156" s="235"/>
    </row>
    <row r="157" spans="2:11">
      <c r="B157" s="252"/>
      <c r="C157" s="253">
        <v>0</v>
      </c>
      <c r="D157" s="252"/>
      <c r="E157" s="254" t="s">
        <v>872</v>
      </c>
      <c r="F157" s="255"/>
      <c r="I157" s="246" t="s">
        <v>872</v>
      </c>
      <c r="J157" s="241" t="str">
        <f t="shared" si="2"/>
        <v>-</v>
      </c>
      <c r="K157" s="235"/>
    </row>
    <row r="158" spans="2:11">
      <c r="B158" s="252"/>
      <c r="C158" s="253">
        <v>0</v>
      </c>
      <c r="D158" s="252"/>
      <c r="E158" s="254" t="s">
        <v>873</v>
      </c>
      <c r="F158" s="255">
        <v>80</v>
      </c>
      <c r="G158" s="226" t="s">
        <v>3</v>
      </c>
      <c r="I158" s="246" t="s">
        <v>873</v>
      </c>
      <c r="J158" s="241">
        <f t="shared" si="2"/>
        <v>80</v>
      </c>
      <c r="K158" s="235" t="s">
        <v>3</v>
      </c>
    </row>
    <row r="159" spans="2:11">
      <c r="B159" s="252"/>
      <c r="C159" s="253">
        <v>0</v>
      </c>
      <c r="D159" s="252"/>
      <c r="E159" s="254" t="s">
        <v>874</v>
      </c>
      <c r="F159" s="255"/>
      <c r="I159" s="246" t="s">
        <v>874</v>
      </c>
      <c r="J159" s="241" t="str">
        <f t="shared" si="2"/>
        <v>-</v>
      </c>
      <c r="K159" s="235"/>
    </row>
    <row r="160" spans="2:11">
      <c r="B160" s="252"/>
      <c r="C160" s="253">
        <v>0</v>
      </c>
      <c r="D160" s="252"/>
      <c r="E160" s="254" t="s">
        <v>875</v>
      </c>
      <c r="F160" s="255">
        <v>80</v>
      </c>
      <c r="G160" s="226" t="s">
        <v>3</v>
      </c>
      <c r="I160" s="246" t="s">
        <v>875</v>
      </c>
      <c r="J160" s="241">
        <f t="shared" si="2"/>
        <v>80</v>
      </c>
      <c r="K160" s="235" t="s">
        <v>3</v>
      </c>
    </row>
    <row r="161" spans="2:11">
      <c r="B161" s="252"/>
      <c r="C161" s="253">
        <v>0</v>
      </c>
      <c r="D161" s="252"/>
      <c r="E161" s="254" t="s">
        <v>876</v>
      </c>
      <c r="F161" s="255"/>
      <c r="I161" s="246" t="s">
        <v>876</v>
      </c>
      <c r="J161" s="241" t="str">
        <f t="shared" si="2"/>
        <v>-</v>
      </c>
      <c r="K161" s="235"/>
    </row>
    <row r="162" spans="2:11">
      <c r="B162" s="252"/>
      <c r="C162" s="253">
        <v>0</v>
      </c>
      <c r="D162" s="252"/>
      <c r="E162" s="254" t="s">
        <v>877</v>
      </c>
      <c r="F162" s="255"/>
      <c r="I162" s="246" t="s">
        <v>877</v>
      </c>
      <c r="J162" s="241" t="str">
        <f t="shared" si="2"/>
        <v>-</v>
      </c>
      <c r="K162" s="235"/>
    </row>
    <row r="163" spans="2:11">
      <c r="B163" s="252"/>
      <c r="C163" s="253">
        <v>0</v>
      </c>
      <c r="D163" s="252"/>
      <c r="E163" s="254" t="s">
        <v>40</v>
      </c>
      <c r="F163" s="255">
        <v>63</v>
      </c>
      <c r="G163" s="226" t="s">
        <v>6</v>
      </c>
      <c r="I163" s="246" t="s">
        <v>40</v>
      </c>
      <c r="J163" s="241">
        <f t="shared" si="2"/>
        <v>63</v>
      </c>
      <c r="K163" s="235" t="s">
        <v>6</v>
      </c>
    </row>
    <row r="164" spans="2:11">
      <c r="B164" s="252"/>
      <c r="C164" s="253">
        <v>0</v>
      </c>
      <c r="D164" s="252"/>
      <c r="E164" s="254" t="s">
        <v>181</v>
      </c>
      <c r="F164" s="255"/>
      <c r="I164" s="246" t="s">
        <v>181</v>
      </c>
      <c r="J164" s="241" t="str">
        <f t="shared" si="2"/>
        <v>-</v>
      </c>
      <c r="K164" s="235"/>
    </row>
    <row r="165" spans="2:11">
      <c r="B165" s="252"/>
      <c r="C165" s="253">
        <v>0</v>
      </c>
      <c r="D165" s="252"/>
      <c r="E165" s="254" t="s">
        <v>182</v>
      </c>
      <c r="F165" s="255"/>
      <c r="I165" s="246" t="s">
        <v>182</v>
      </c>
      <c r="J165" s="241" t="str">
        <f t="shared" si="2"/>
        <v>-</v>
      </c>
      <c r="K165" s="235"/>
    </row>
    <row r="166" spans="2:11">
      <c r="B166" s="252"/>
      <c r="C166" s="253">
        <v>0</v>
      </c>
      <c r="D166" s="252"/>
      <c r="E166" s="254" t="s">
        <v>183</v>
      </c>
      <c r="F166" s="255">
        <v>140</v>
      </c>
      <c r="G166" s="226" t="s">
        <v>3</v>
      </c>
      <c r="I166" s="246" t="s">
        <v>183</v>
      </c>
      <c r="J166" s="241">
        <f t="shared" si="2"/>
        <v>140</v>
      </c>
      <c r="K166" s="235" t="s">
        <v>3</v>
      </c>
    </row>
    <row r="167" spans="2:11">
      <c r="B167" s="252"/>
      <c r="C167" s="253">
        <v>0</v>
      </c>
      <c r="D167" s="252"/>
      <c r="E167" s="254" t="s">
        <v>878</v>
      </c>
      <c r="F167" s="255">
        <v>400</v>
      </c>
      <c r="G167" s="226" t="s">
        <v>3</v>
      </c>
      <c r="I167" s="246" t="s">
        <v>878</v>
      </c>
      <c r="J167" s="241">
        <f t="shared" si="2"/>
        <v>400</v>
      </c>
      <c r="K167" s="235" t="s">
        <v>3</v>
      </c>
    </row>
    <row r="168" spans="2:11">
      <c r="B168" s="252"/>
      <c r="C168" s="253">
        <v>0</v>
      </c>
      <c r="D168" s="252"/>
      <c r="E168" s="254" t="s">
        <v>879</v>
      </c>
      <c r="F168" s="255"/>
      <c r="I168" s="246" t="s">
        <v>879</v>
      </c>
      <c r="J168" s="241" t="str">
        <f t="shared" si="2"/>
        <v>-</v>
      </c>
      <c r="K168" s="235"/>
    </row>
    <row r="169" spans="2:11">
      <c r="B169" s="252"/>
      <c r="C169" s="253">
        <v>0</v>
      </c>
      <c r="D169" s="252"/>
      <c r="E169" s="254" t="s">
        <v>880</v>
      </c>
      <c r="F169" s="255">
        <v>80</v>
      </c>
      <c r="G169" s="226" t="s">
        <v>6</v>
      </c>
      <c r="I169" s="246" t="s">
        <v>880</v>
      </c>
      <c r="J169" s="241">
        <f t="shared" si="2"/>
        <v>80</v>
      </c>
      <c r="K169" s="235" t="s">
        <v>6</v>
      </c>
    </row>
    <row r="170" spans="2:11">
      <c r="B170" s="252"/>
      <c r="C170" s="253">
        <v>0</v>
      </c>
      <c r="D170" s="252"/>
      <c r="E170" s="254" t="s">
        <v>881</v>
      </c>
      <c r="F170" s="255">
        <v>240</v>
      </c>
      <c r="G170" s="226" t="s">
        <v>6</v>
      </c>
      <c r="I170" s="246" t="s">
        <v>881</v>
      </c>
      <c r="J170" s="241">
        <f t="shared" si="2"/>
        <v>240</v>
      </c>
      <c r="K170" s="235" t="s">
        <v>6</v>
      </c>
    </row>
    <row r="171" spans="2:11">
      <c r="B171" s="252"/>
      <c r="C171" s="253">
        <v>0</v>
      </c>
      <c r="D171" s="252"/>
      <c r="E171" s="254" t="s">
        <v>882</v>
      </c>
      <c r="F171" s="255"/>
      <c r="I171" s="246" t="s">
        <v>882</v>
      </c>
      <c r="J171" s="241" t="str">
        <f t="shared" si="2"/>
        <v>-</v>
      </c>
      <c r="K171" s="235"/>
    </row>
    <row r="172" spans="2:11">
      <c r="B172" s="252"/>
      <c r="C172" s="253">
        <v>0</v>
      </c>
      <c r="D172" s="252"/>
      <c r="E172" s="254" t="s">
        <v>875</v>
      </c>
      <c r="F172" s="255">
        <v>222</v>
      </c>
      <c r="G172" s="226" t="s">
        <v>6</v>
      </c>
      <c r="I172" s="246" t="s">
        <v>875</v>
      </c>
      <c r="J172" s="241">
        <f t="shared" si="2"/>
        <v>222</v>
      </c>
      <c r="K172" s="235" t="s">
        <v>6</v>
      </c>
    </row>
    <row r="173" spans="2:11">
      <c r="B173" s="252"/>
      <c r="C173" s="253">
        <v>0</v>
      </c>
      <c r="D173" s="252"/>
      <c r="E173" s="254" t="s">
        <v>883</v>
      </c>
      <c r="F173" s="255"/>
      <c r="I173" s="246" t="s">
        <v>883</v>
      </c>
      <c r="J173" s="241" t="str">
        <f t="shared" si="2"/>
        <v>-</v>
      </c>
      <c r="K173" s="235"/>
    </row>
    <row r="174" spans="2:11">
      <c r="B174" s="252"/>
      <c r="C174" s="253">
        <v>0</v>
      </c>
      <c r="D174" s="252"/>
      <c r="E174" s="254" t="s">
        <v>884</v>
      </c>
      <c r="F174" s="255">
        <v>140</v>
      </c>
      <c r="G174" s="226" t="s">
        <v>3</v>
      </c>
      <c r="I174" s="246" t="s">
        <v>884</v>
      </c>
      <c r="J174" s="241">
        <f t="shared" si="2"/>
        <v>140</v>
      </c>
      <c r="K174" s="235" t="s">
        <v>3</v>
      </c>
    </row>
    <row r="175" spans="2:11">
      <c r="B175" s="252"/>
      <c r="C175" s="253">
        <v>0</v>
      </c>
      <c r="D175" s="252"/>
      <c r="E175" s="254" t="s">
        <v>885</v>
      </c>
      <c r="F175" s="255">
        <v>400</v>
      </c>
      <c r="G175" s="226" t="s">
        <v>3</v>
      </c>
      <c r="I175" s="246" t="s">
        <v>885</v>
      </c>
      <c r="J175" s="241">
        <f t="shared" si="2"/>
        <v>400</v>
      </c>
      <c r="K175" s="235" t="s">
        <v>3</v>
      </c>
    </row>
    <row r="176" spans="2:11">
      <c r="B176" s="252"/>
      <c r="C176" s="253">
        <v>0</v>
      </c>
      <c r="D176" s="252"/>
      <c r="E176" s="254" t="s">
        <v>41</v>
      </c>
      <c r="F176" s="255"/>
      <c r="I176" s="246" t="s">
        <v>41</v>
      </c>
      <c r="J176" s="241" t="str">
        <f t="shared" si="2"/>
        <v>-</v>
      </c>
      <c r="K176" s="235"/>
    </row>
    <row r="177" spans="2:11">
      <c r="B177" s="252"/>
      <c r="C177" s="253">
        <v>0</v>
      </c>
      <c r="D177" s="252"/>
      <c r="E177" s="254" t="s">
        <v>37</v>
      </c>
      <c r="F177" s="255"/>
      <c r="I177" s="246" t="s">
        <v>37</v>
      </c>
      <c r="J177" s="241" t="str">
        <f t="shared" si="2"/>
        <v>-</v>
      </c>
      <c r="K177" s="235"/>
    </row>
    <row r="178" spans="2:11">
      <c r="B178" s="252"/>
      <c r="C178" s="253">
        <v>0</v>
      </c>
      <c r="D178" s="252"/>
      <c r="E178" s="254" t="s">
        <v>223</v>
      </c>
      <c r="F178" s="255">
        <v>80</v>
      </c>
      <c r="G178" s="226" t="s">
        <v>3</v>
      </c>
      <c r="I178" s="246" t="s">
        <v>223</v>
      </c>
      <c r="J178" s="241">
        <f t="shared" si="2"/>
        <v>80</v>
      </c>
      <c r="K178" s="235" t="s">
        <v>3</v>
      </c>
    </row>
    <row r="179" spans="2:11">
      <c r="B179" s="252"/>
      <c r="C179" s="253">
        <v>0</v>
      </c>
      <c r="D179" s="252"/>
      <c r="E179" s="254" t="s">
        <v>184</v>
      </c>
      <c r="F179" s="255"/>
      <c r="I179" s="246" t="s">
        <v>184</v>
      </c>
      <c r="J179" s="241" t="str">
        <f t="shared" si="2"/>
        <v>-</v>
      </c>
      <c r="K179" s="235"/>
    </row>
    <row r="180" spans="2:11">
      <c r="B180" s="252"/>
      <c r="C180" s="253">
        <v>0</v>
      </c>
      <c r="D180" s="252"/>
      <c r="E180" s="254" t="s">
        <v>833</v>
      </c>
      <c r="F180" s="255"/>
      <c r="I180" s="246" t="s">
        <v>833</v>
      </c>
      <c r="J180" s="241" t="str">
        <f t="shared" si="2"/>
        <v>-</v>
      </c>
      <c r="K180" s="235"/>
    </row>
    <row r="181" spans="2:11">
      <c r="B181" s="252"/>
      <c r="C181" s="253">
        <v>0</v>
      </c>
      <c r="D181" s="252"/>
      <c r="E181" s="254" t="s">
        <v>36</v>
      </c>
      <c r="F181" s="255">
        <v>63</v>
      </c>
      <c r="G181" s="226" t="s">
        <v>6</v>
      </c>
      <c r="I181" s="246" t="s">
        <v>36</v>
      </c>
      <c r="J181" s="241">
        <f t="shared" si="2"/>
        <v>63</v>
      </c>
      <c r="K181" s="235" t="s">
        <v>6</v>
      </c>
    </row>
    <row r="182" spans="2:11">
      <c r="B182" s="252"/>
      <c r="C182" s="253">
        <v>0</v>
      </c>
      <c r="D182" s="252"/>
      <c r="E182" s="254" t="s">
        <v>225</v>
      </c>
      <c r="F182" s="255"/>
      <c r="I182" s="246" t="s">
        <v>225</v>
      </c>
      <c r="J182" s="241" t="str">
        <f t="shared" si="2"/>
        <v>-</v>
      </c>
      <c r="K182" s="235"/>
    </row>
    <row r="183" spans="2:11">
      <c r="B183" s="252"/>
      <c r="C183" s="253">
        <v>0</v>
      </c>
      <c r="D183" s="252"/>
      <c r="E183" s="254" t="s">
        <v>36</v>
      </c>
      <c r="F183" s="255">
        <v>120</v>
      </c>
      <c r="G183" s="226" t="s">
        <v>3</v>
      </c>
      <c r="I183" s="246" t="s">
        <v>36</v>
      </c>
      <c r="J183" s="241">
        <f t="shared" si="2"/>
        <v>120</v>
      </c>
      <c r="K183" s="235" t="s">
        <v>3</v>
      </c>
    </row>
    <row r="184" spans="2:11">
      <c r="B184" s="252"/>
      <c r="C184" s="253">
        <v>0</v>
      </c>
      <c r="D184" s="252"/>
      <c r="E184" s="254" t="s">
        <v>42</v>
      </c>
      <c r="F184" s="255"/>
      <c r="I184" s="246" t="s">
        <v>42</v>
      </c>
      <c r="J184" s="241" t="str">
        <f t="shared" si="2"/>
        <v>-</v>
      </c>
      <c r="K184" s="235"/>
    </row>
    <row r="185" spans="2:11">
      <c r="B185" s="252"/>
      <c r="C185" s="253">
        <v>0</v>
      </c>
      <c r="D185" s="252"/>
      <c r="E185" s="254" t="s">
        <v>886</v>
      </c>
      <c r="F185" s="255"/>
      <c r="I185" s="246" t="s">
        <v>886</v>
      </c>
      <c r="J185" s="241" t="str">
        <f t="shared" si="2"/>
        <v>-</v>
      </c>
      <c r="K185" s="235"/>
    </row>
    <row r="186" spans="2:11">
      <c r="B186" s="252"/>
      <c r="C186" s="253">
        <v>0</v>
      </c>
      <c r="D186" s="252"/>
      <c r="E186" s="254" t="s">
        <v>887</v>
      </c>
      <c r="F186" s="255">
        <v>45</v>
      </c>
      <c r="G186" s="226" t="s">
        <v>6</v>
      </c>
      <c r="I186" s="246" t="s">
        <v>887</v>
      </c>
      <c r="J186" s="241">
        <f t="shared" si="2"/>
        <v>45</v>
      </c>
      <c r="K186" s="235" t="s">
        <v>6</v>
      </c>
    </row>
    <row r="187" spans="2:11">
      <c r="B187" s="252"/>
      <c r="C187" s="253">
        <v>0</v>
      </c>
      <c r="D187" s="252"/>
      <c r="E187" s="254" t="s">
        <v>888</v>
      </c>
      <c r="F187" s="255"/>
      <c r="I187" s="246" t="s">
        <v>888</v>
      </c>
      <c r="J187" s="241" t="str">
        <f t="shared" si="2"/>
        <v>-</v>
      </c>
      <c r="K187" s="235"/>
    </row>
    <row r="188" spans="2:11">
      <c r="B188" s="252"/>
      <c r="C188" s="253">
        <v>0</v>
      </c>
      <c r="D188" s="252"/>
      <c r="E188" s="254" t="s">
        <v>853</v>
      </c>
      <c r="F188" s="255"/>
      <c r="I188" s="246" t="s">
        <v>853</v>
      </c>
      <c r="J188" s="241" t="str">
        <f t="shared" si="2"/>
        <v>-</v>
      </c>
      <c r="K188" s="235"/>
    </row>
    <row r="189" spans="2:11">
      <c r="B189" s="252"/>
      <c r="C189" s="253">
        <v>0</v>
      </c>
      <c r="D189" s="252"/>
      <c r="E189" s="254" t="s">
        <v>854</v>
      </c>
      <c r="F189" s="255">
        <v>2760</v>
      </c>
      <c r="G189" s="226" t="s">
        <v>6</v>
      </c>
      <c r="I189" s="246" t="s">
        <v>854</v>
      </c>
      <c r="J189" s="241">
        <f t="shared" si="2"/>
        <v>2760</v>
      </c>
      <c r="K189" s="235" t="s">
        <v>6</v>
      </c>
    </row>
    <row r="190" spans="2:11">
      <c r="B190" s="252"/>
      <c r="C190" s="253">
        <v>0</v>
      </c>
      <c r="D190" s="252"/>
      <c r="E190" s="254" t="s">
        <v>855</v>
      </c>
      <c r="F190" s="255">
        <v>386</v>
      </c>
      <c r="G190" s="226" t="s">
        <v>6</v>
      </c>
      <c r="I190" s="246" t="s">
        <v>855</v>
      </c>
      <c r="J190" s="241">
        <f t="shared" si="2"/>
        <v>386</v>
      </c>
      <c r="K190" s="235" t="s">
        <v>6</v>
      </c>
    </row>
    <row r="191" spans="2:11">
      <c r="B191" s="252"/>
      <c r="C191" s="253">
        <v>0</v>
      </c>
      <c r="D191" s="252"/>
      <c r="E191" s="254" t="s">
        <v>856</v>
      </c>
      <c r="F191" s="255"/>
      <c r="I191" s="246" t="s">
        <v>856</v>
      </c>
      <c r="J191" s="241" t="str">
        <f t="shared" si="2"/>
        <v>-</v>
      </c>
      <c r="K191" s="235"/>
    </row>
    <row r="192" spans="2:11">
      <c r="B192" s="252"/>
      <c r="C192" s="253">
        <v>0</v>
      </c>
      <c r="D192" s="252"/>
      <c r="E192" s="254" t="s">
        <v>857</v>
      </c>
      <c r="F192" s="255">
        <v>87</v>
      </c>
      <c r="G192" s="226" t="s">
        <v>6</v>
      </c>
      <c r="I192" s="246" t="s">
        <v>857</v>
      </c>
      <c r="J192" s="241">
        <f t="shared" si="2"/>
        <v>87</v>
      </c>
      <c r="K192" s="235" t="s">
        <v>6</v>
      </c>
    </row>
    <row r="193" spans="2:11">
      <c r="B193" s="252"/>
      <c r="C193" s="253">
        <v>0</v>
      </c>
      <c r="D193" s="252"/>
      <c r="E193" s="254" t="s">
        <v>858</v>
      </c>
      <c r="F193" s="255"/>
      <c r="I193" s="246" t="s">
        <v>858</v>
      </c>
      <c r="J193" s="241" t="str">
        <f t="shared" si="2"/>
        <v>-</v>
      </c>
      <c r="K193" s="235"/>
    </row>
    <row r="194" spans="2:11">
      <c r="B194" s="252"/>
      <c r="C194" s="253">
        <v>0</v>
      </c>
      <c r="D194" s="252"/>
      <c r="E194" s="254" t="s">
        <v>859</v>
      </c>
      <c r="F194" s="255">
        <v>87</v>
      </c>
      <c r="G194" s="226" t="s">
        <v>6</v>
      </c>
      <c r="I194" s="246" t="s">
        <v>859</v>
      </c>
      <c r="J194" s="241">
        <f t="shared" si="2"/>
        <v>87</v>
      </c>
      <c r="K194" s="235" t="s">
        <v>6</v>
      </c>
    </row>
    <row r="195" spans="2:11">
      <c r="B195" s="252"/>
      <c r="C195" s="253">
        <v>0</v>
      </c>
      <c r="D195" s="252"/>
      <c r="E195" s="254" t="s">
        <v>860</v>
      </c>
      <c r="F195" s="255"/>
      <c r="I195" s="246" t="s">
        <v>860</v>
      </c>
      <c r="J195" s="241" t="str">
        <f t="shared" si="2"/>
        <v>-</v>
      </c>
      <c r="K195" s="235"/>
    </row>
    <row r="196" spans="2:11">
      <c r="B196" s="252"/>
      <c r="C196" s="253">
        <v>0</v>
      </c>
      <c r="D196" s="252"/>
      <c r="E196" s="254" t="s">
        <v>861</v>
      </c>
      <c r="F196" s="255">
        <v>286</v>
      </c>
      <c r="G196" s="226" t="s">
        <v>6</v>
      </c>
      <c r="I196" s="246" t="s">
        <v>861</v>
      </c>
      <c r="J196" s="241">
        <f t="shared" si="2"/>
        <v>286</v>
      </c>
      <c r="K196" s="235" t="s">
        <v>6</v>
      </c>
    </row>
    <row r="197" spans="2:11">
      <c r="B197" s="252"/>
      <c r="C197" s="253">
        <v>0</v>
      </c>
      <c r="D197" s="252"/>
      <c r="E197" s="254" t="s">
        <v>862</v>
      </c>
      <c r="F197" s="255"/>
      <c r="I197" s="246" t="s">
        <v>862</v>
      </c>
      <c r="J197" s="241" t="str">
        <f t="shared" si="2"/>
        <v>-</v>
      </c>
      <c r="K197" s="235"/>
    </row>
    <row r="198" spans="2:11">
      <c r="B198" s="252"/>
      <c r="C198" s="253">
        <v>0</v>
      </c>
      <c r="D198" s="252"/>
      <c r="E198" s="254" t="s">
        <v>863</v>
      </c>
      <c r="F198" s="255">
        <v>1216</v>
      </c>
      <c r="G198" s="226" t="s">
        <v>6</v>
      </c>
      <c r="I198" s="246" t="s">
        <v>863</v>
      </c>
      <c r="J198" s="241">
        <f t="shared" si="2"/>
        <v>1216</v>
      </c>
      <c r="K198" s="235" t="s">
        <v>6</v>
      </c>
    </row>
    <row r="199" spans="2:11">
      <c r="B199" s="252"/>
      <c r="C199" s="253">
        <v>0</v>
      </c>
      <c r="D199" s="252"/>
      <c r="E199" s="254" t="s">
        <v>864</v>
      </c>
      <c r="F199" s="255"/>
      <c r="I199" s="246" t="s">
        <v>864</v>
      </c>
      <c r="J199" s="241" t="str">
        <f t="shared" si="2"/>
        <v>-</v>
      </c>
      <c r="K199" s="235"/>
    </row>
    <row r="200" spans="2:11">
      <c r="B200" s="252"/>
      <c r="C200" s="253">
        <v>0</v>
      </c>
      <c r="D200" s="252"/>
      <c r="E200" s="254" t="s">
        <v>854</v>
      </c>
      <c r="F200" s="255">
        <v>1544</v>
      </c>
      <c r="G200" s="226" t="s">
        <v>6</v>
      </c>
      <c r="I200" s="246" t="s">
        <v>854</v>
      </c>
      <c r="J200" s="241">
        <f t="shared" si="2"/>
        <v>1544</v>
      </c>
      <c r="K200" s="235" t="s">
        <v>6</v>
      </c>
    </row>
    <row r="201" spans="2:11">
      <c r="B201" s="252"/>
      <c r="C201" s="253">
        <v>0</v>
      </c>
      <c r="D201" s="252"/>
      <c r="E201" s="254" t="s">
        <v>855</v>
      </c>
      <c r="F201" s="255">
        <v>386</v>
      </c>
      <c r="G201" s="226" t="s">
        <v>6</v>
      </c>
      <c r="I201" s="246" t="s">
        <v>855</v>
      </c>
      <c r="J201" s="241">
        <f t="shared" ref="J201:J239" si="3">IF(F201="","-",F201+C201)</f>
        <v>386</v>
      </c>
      <c r="K201" s="235" t="s">
        <v>6</v>
      </c>
    </row>
    <row r="202" spans="2:11">
      <c r="B202" s="252"/>
      <c r="C202" s="253">
        <v>0</v>
      </c>
      <c r="D202" s="252"/>
      <c r="E202" s="254" t="s">
        <v>865</v>
      </c>
      <c r="F202" s="255"/>
      <c r="I202" s="246" t="s">
        <v>865</v>
      </c>
      <c r="J202" s="241" t="str">
        <f t="shared" si="3"/>
        <v>-</v>
      </c>
      <c r="K202" s="235"/>
    </row>
    <row r="203" spans="2:11">
      <c r="B203" s="252"/>
      <c r="C203" s="253">
        <v>0</v>
      </c>
      <c r="D203" s="252"/>
      <c r="E203" s="254" t="s">
        <v>866</v>
      </c>
      <c r="F203" s="255">
        <v>386</v>
      </c>
      <c r="G203" s="226" t="s">
        <v>6</v>
      </c>
      <c r="I203" s="246" t="s">
        <v>866</v>
      </c>
      <c r="J203" s="241">
        <f t="shared" si="3"/>
        <v>386</v>
      </c>
      <c r="K203" s="235" t="s">
        <v>6</v>
      </c>
    </row>
    <row r="204" spans="2:11">
      <c r="B204" s="252"/>
      <c r="C204" s="253">
        <v>0</v>
      </c>
      <c r="D204" s="252"/>
      <c r="E204" s="254" t="s">
        <v>867</v>
      </c>
      <c r="F204" s="255"/>
      <c r="I204" s="246" t="s">
        <v>867</v>
      </c>
      <c r="J204" s="241" t="str">
        <f t="shared" si="3"/>
        <v>-</v>
      </c>
      <c r="K204" s="235"/>
    </row>
    <row r="205" spans="2:11">
      <c r="B205" s="252"/>
      <c r="C205" s="253">
        <v>0</v>
      </c>
      <c r="D205" s="252"/>
      <c r="E205" s="254" t="s">
        <v>868</v>
      </c>
      <c r="F205" s="255">
        <v>386</v>
      </c>
      <c r="G205" s="226" t="s">
        <v>6</v>
      </c>
      <c r="I205" s="246" t="s">
        <v>868</v>
      </c>
      <c r="J205" s="241">
        <f t="shared" si="3"/>
        <v>386</v>
      </c>
      <c r="K205" s="235" t="s">
        <v>6</v>
      </c>
    </row>
    <row r="206" spans="2:11">
      <c r="B206" s="252"/>
      <c r="C206" s="253">
        <v>0</v>
      </c>
      <c r="D206" s="252"/>
      <c r="E206" s="254" t="s">
        <v>186</v>
      </c>
      <c r="F206" s="255"/>
      <c r="I206" s="246" t="s">
        <v>186</v>
      </c>
      <c r="J206" s="241" t="str">
        <f t="shared" si="3"/>
        <v>-</v>
      </c>
      <c r="K206" s="235"/>
    </row>
    <row r="207" spans="2:11">
      <c r="B207" s="252"/>
      <c r="C207" s="253">
        <v>0</v>
      </c>
      <c r="D207" s="252"/>
      <c r="E207" s="254" t="s">
        <v>175</v>
      </c>
      <c r="F207" s="255"/>
      <c r="I207" s="246" t="s">
        <v>175</v>
      </c>
      <c r="J207" s="241" t="str">
        <f t="shared" si="3"/>
        <v>-</v>
      </c>
      <c r="K207" s="235"/>
    </row>
    <row r="208" spans="2:11">
      <c r="B208" s="252"/>
      <c r="C208" s="253">
        <v>0</v>
      </c>
      <c r="D208" s="252"/>
      <c r="E208" s="254" t="s">
        <v>176</v>
      </c>
      <c r="F208" s="255">
        <v>6</v>
      </c>
      <c r="G208" s="226" t="s">
        <v>6</v>
      </c>
      <c r="I208" s="246" t="s">
        <v>176</v>
      </c>
      <c r="J208" s="241">
        <f t="shared" si="3"/>
        <v>6</v>
      </c>
      <c r="K208" s="235" t="s">
        <v>6</v>
      </c>
    </row>
    <row r="209" spans="2:11">
      <c r="B209" s="252"/>
      <c r="C209" s="253">
        <v>0</v>
      </c>
      <c r="D209" s="252"/>
      <c r="E209" s="254" t="s">
        <v>809</v>
      </c>
      <c r="F209" s="255">
        <v>6</v>
      </c>
      <c r="G209" s="226" t="s">
        <v>6</v>
      </c>
      <c r="I209" s="246" t="s">
        <v>809</v>
      </c>
      <c r="J209" s="241">
        <f t="shared" si="3"/>
        <v>6</v>
      </c>
      <c r="K209" s="235" t="s">
        <v>6</v>
      </c>
    </row>
    <row r="210" spans="2:11">
      <c r="B210" s="252"/>
      <c r="C210" s="253">
        <v>0</v>
      </c>
      <c r="D210" s="252"/>
      <c r="E210" s="254" t="s">
        <v>187</v>
      </c>
      <c r="F210" s="255"/>
      <c r="I210" s="246" t="s">
        <v>187</v>
      </c>
      <c r="J210" s="241" t="str">
        <f t="shared" si="3"/>
        <v>-</v>
      </c>
      <c r="K210" s="235"/>
    </row>
    <row r="211" spans="2:11">
      <c r="B211" s="252"/>
      <c r="C211" s="253">
        <v>0</v>
      </c>
      <c r="D211" s="252"/>
      <c r="E211" s="254" t="s">
        <v>811</v>
      </c>
      <c r="F211" s="255"/>
      <c r="I211" s="246" t="s">
        <v>811</v>
      </c>
      <c r="J211" s="241" t="str">
        <f t="shared" si="3"/>
        <v>-</v>
      </c>
      <c r="K211" s="235"/>
    </row>
    <row r="212" spans="2:11">
      <c r="B212" s="252"/>
      <c r="C212" s="253">
        <v>0</v>
      </c>
      <c r="D212" s="252"/>
      <c r="E212" s="254" t="s">
        <v>870</v>
      </c>
      <c r="F212" s="255">
        <v>45</v>
      </c>
      <c r="G212" s="226" t="s">
        <v>6</v>
      </c>
      <c r="I212" s="246" t="s">
        <v>870</v>
      </c>
      <c r="J212" s="241">
        <f t="shared" si="3"/>
        <v>45</v>
      </c>
      <c r="K212" s="235" t="s">
        <v>6</v>
      </c>
    </row>
    <row r="213" spans="2:11">
      <c r="B213" s="252"/>
      <c r="C213" s="253">
        <v>0</v>
      </c>
      <c r="D213" s="252"/>
      <c r="E213" s="254" t="s">
        <v>178</v>
      </c>
      <c r="F213" s="255"/>
      <c r="I213" s="246" t="s">
        <v>178</v>
      </c>
      <c r="J213" s="241" t="str">
        <f t="shared" si="3"/>
        <v>-</v>
      </c>
      <c r="K213" s="235"/>
    </row>
    <row r="214" spans="2:11">
      <c r="B214" s="252"/>
      <c r="C214" s="253">
        <v>0</v>
      </c>
      <c r="D214" s="252"/>
      <c r="E214" s="254" t="s">
        <v>179</v>
      </c>
      <c r="F214" s="255">
        <v>10</v>
      </c>
      <c r="G214" s="226" t="s">
        <v>6</v>
      </c>
      <c r="I214" s="246" t="s">
        <v>179</v>
      </c>
      <c r="J214" s="241">
        <f t="shared" si="3"/>
        <v>10</v>
      </c>
      <c r="K214" s="235" t="s">
        <v>6</v>
      </c>
    </row>
    <row r="215" spans="2:11">
      <c r="B215" s="252"/>
      <c r="C215" s="253">
        <v>0</v>
      </c>
      <c r="D215" s="252"/>
      <c r="E215" s="254" t="s">
        <v>889</v>
      </c>
      <c r="F215" s="255"/>
      <c r="I215" s="246" t="s">
        <v>889</v>
      </c>
      <c r="J215" s="241" t="str">
        <f t="shared" si="3"/>
        <v>-</v>
      </c>
      <c r="K215" s="235"/>
    </row>
    <row r="216" spans="2:11">
      <c r="B216" s="252"/>
      <c r="C216" s="253">
        <v>0</v>
      </c>
      <c r="D216" s="252"/>
      <c r="E216" s="254" t="s">
        <v>872</v>
      </c>
      <c r="F216" s="255"/>
      <c r="I216" s="246" t="s">
        <v>872</v>
      </c>
      <c r="J216" s="241" t="str">
        <f t="shared" si="3"/>
        <v>-</v>
      </c>
      <c r="K216" s="235"/>
    </row>
    <row r="217" spans="2:11">
      <c r="B217" s="252"/>
      <c r="C217" s="253">
        <v>0</v>
      </c>
      <c r="D217" s="252"/>
      <c r="E217" s="254" t="s">
        <v>873</v>
      </c>
      <c r="F217" s="255">
        <v>45</v>
      </c>
      <c r="G217" s="226" t="s">
        <v>3</v>
      </c>
      <c r="I217" s="246" t="s">
        <v>873</v>
      </c>
      <c r="J217" s="241">
        <f t="shared" si="3"/>
        <v>45</v>
      </c>
      <c r="K217" s="235" t="s">
        <v>3</v>
      </c>
    </row>
    <row r="218" spans="2:11">
      <c r="B218" s="252"/>
      <c r="C218" s="253">
        <v>0</v>
      </c>
      <c r="D218" s="252"/>
      <c r="E218" s="254" t="s">
        <v>874</v>
      </c>
      <c r="F218" s="255"/>
      <c r="I218" s="246" t="s">
        <v>874</v>
      </c>
      <c r="J218" s="241" t="str">
        <f t="shared" si="3"/>
        <v>-</v>
      </c>
      <c r="K218" s="235"/>
    </row>
    <row r="219" spans="2:11">
      <c r="B219" s="252"/>
      <c r="C219" s="253">
        <v>0</v>
      </c>
      <c r="D219" s="252"/>
      <c r="E219" s="254" t="s">
        <v>875</v>
      </c>
      <c r="F219" s="255">
        <v>45</v>
      </c>
      <c r="G219" s="226" t="s">
        <v>3</v>
      </c>
      <c r="I219" s="246" t="s">
        <v>875</v>
      </c>
      <c r="J219" s="241">
        <f t="shared" si="3"/>
        <v>45</v>
      </c>
      <c r="K219" s="235" t="s">
        <v>3</v>
      </c>
    </row>
    <row r="220" spans="2:11">
      <c r="B220" s="252"/>
      <c r="C220" s="253">
        <v>0</v>
      </c>
      <c r="D220" s="252"/>
      <c r="E220" s="254" t="s">
        <v>188</v>
      </c>
      <c r="F220" s="255"/>
      <c r="I220" s="246" t="s">
        <v>188</v>
      </c>
      <c r="J220" s="241" t="str">
        <f t="shared" si="3"/>
        <v>-</v>
      </c>
      <c r="K220" s="235"/>
    </row>
    <row r="221" spans="2:11">
      <c r="B221" s="252"/>
      <c r="C221" s="253">
        <v>0</v>
      </c>
      <c r="D221" s="252"/>
      <c r="E221" s="254" t="s">
        <v>890</v>
      </c>
      <c r="F221" s="255"/>
      <c r="I221" s="246" t="s">
        <v>890</v>
      </c>
      <c r="J221" s="241" t="str">
        <f t="shared" si="3"/>
        <v>-</v>
      </c>
      <c r="K221" s="235"/>
    </row>
    <row r="222" spans="2:11">
      <c r="B222" s="252"/>
      <c r="C222" s="253">
        <v>0</v>
      </c>
      <c r="D222" s="252"/>
      <c r="E222" s="254" t="s">
        <v>189</v>
      </c>
      <c r="F222" s="255">
        <v>45</v>
      </c>
      <c r="G222" s="226" t="s">
        <v>6</v>
      </c>
      <c r="I222" s="246" t="s">
        <v>189</v>
      </c>
      <c r="J222" s="241">
        <f t="shared" si="3"/>
        <v>45</v>
      </c>
      <c r="K222" s="235" t="s">
        <v>6</v>
      </c>
    </row>
    <row r="223" spans="2:11">
      <c r="B223" s="252"/>
      <c r="C223" s="253">
        <v>0</v>
      </c>
      <c r="D223" s="252"/>
      <c r="E223" s="254" t="s">
        <v>190</v>
      </c>
      <c r="F223" s="255"/>
      <c r="I223" s="246" t="s">
        <v>190</v>
      </c>
      <c r="J223" s="241" t="str">
        <f t="shared" si="3"/>
        <v>-</v>
      </c>
      <c r="K223" s="235"/>
    </row>
    <row r="224" spans="2:11">
      <c r="B224" s="252"/>
      <c r="C224" s="253">
        <v>0</v>
      </c>
      <c r="D224" s="252"/>
      <c r="E224" s="254" t="s">
        <v>182</v>
      </c>
      <c r="F224" s="255"/>
      <c r="I224" s="246" t="s">
        <v>182</v>
      </c>
      <c r="J224" s="241" t="str">
        <f t="shared" si="3"/>
        <v>-</v>
      </c>
      <c r="K224" s="235"/>
    </row>
    <row r="225" spans="2:11">
      <c r="B225" s="252"/>
      <c r="C225" s="253">
        <v>0</v>
      </c>
      <c r="D225" s="252"/>
      <c r="E225" s="254" t="s">
        <v>183</v>
      </c>
      <c r="F225" s="255">
        <v>610</v>
      </c>
      <c r="G225" s="226" t="s">
        <v>3</v>
      </c>
      <c r="I225" s="246" t="s">
        <v>183</v>
      </c>
      <c r="J225" s="241">
        <f t="shared" si="3"/>
        <v>610</v>
      </c>
      <c r="K225" s="235" t="s">
        <v>3</v>
      </c>
    </row>
    <row r="226" spans="2:11">
      <c r="B226" s="252"/>
      <c r="C226" s="253">
        <v>0</v>
      </c>
      <c r="D226" s="252"/>
      <c r="E226" s="254" t="s">
        <v>879</v>
      </c>
      <c r="F226" s="255"/>
      <c r="I226" s="246" t="s">
        <v>879</v>
      </c>
      <c r="J226" s="241" t="str">
        <f t="shared" si="3"/>
        <v>-</v>
      </c>
      <c r="K226" s="235"/>
    </row>
    <row r="227" spans="2:11">
      <c r="B227" s="252"/>
      <c r="C227" s="253">
        <v>0</v>
      </c>
      <c r="D227" s="252"/>
      <c r="E227" s="254" t="s">
        <v>880</v>
      </c>
      <c r="F227" s="255">
        <v>390</v>
      </c>
      <c r="G227" s="226" t="s">
        <v>6</v>
      </c>
      <c r="I227" s="246" t="s">
        <v>880</v>
      </c>
      <c r="J227" s="241">
        <f t="shared" si="3"/>
        <v>390</v>
      </c>
      <c r="K227" s="235" t="s">
        <v>6</v>
      </c>
    </row>
    <row r="228" spans="2:11">
      <c r="B228" s="252"/>
      <c r="C228" s="253">
        <v>0</v>
      </c>
      <c r="D228" s="252"/>
      <c r="E228" s="254" t="s">
        <v>882</v>
      </c>
      <c r="F228" s="255"/>
      <c r="I228" s="246" t="s">
        <v>882</v>
      </c>
      <c r="J228" s="241" t="str">
        <f t="shared" si="3"/>
        <v>-</v>
      </c>
      <c r="K228" s="235"/>
    </row>
    <row r="229" spans="2:11">
      <c r="B229" s="252"/>
      <c r="C229" s="253">
        <v>0</v>
      </c>
      <c r="D229" s="252"/>
      <c r="E229" s="254" t="s">
        <v>875</v>
      </c>
      <c r="F229" s="255">
        <v>305</v>
      </c>
      <c r="G229" s="226" t="s">
        <v>6</v>
      </c>
      <c r="I229" s="246" t="s">
        <v>875</v>
      </c>
      <c r="J229" s="241">
        <f t="shared" si="3"/>
        <v>305</v>
      </c>
      <c r="K229" s="235" t="s">
        <v>6</v>
      </c>
    </row>
    <row r="230" spans="2:11">
      <c r="B230" s="252"/>
      <c r="C230" s="253">
        <v>0</v>
      </c>
      <c r="D230" s="252"/>
      <c r="E230" s="254" t="s">
        <v>883</v>
      </c>
      <c r="F230" s="255"/>
      <c r="I230" s="246" t="s">
        <v>883</v>
      </c>
      <c r="J230" s="241" t="str">
        <f t="shared" si="3"/>
        <v>-</v>
      </c>
      <c r="K230" s="235"/>
    </row>
    <row r="231" spans="2:11">
      <c r="B231" s="252"/>
      <c r="C231" s="253">
        <v>0</v>
      </c>
      <c r="D231" s="252"/>
      <c r="E231" s="254" t="s">
        <v>884</v>
      </c>
      <c r="F231" s="255">
        <v>610</v>
      </c>
      <c r="G231" s="226" t="s">
        <v>3</v>
      </c>
      <c r="I231" s="246" t="s">
        <v>884</v>
      </c>
      <c r="J231" s="241">
        <f t="shared" si="3"/>
        <v>610</v>
      </c>
      <c r="K231" s="235" t="s">
        <v>3</v>
      </c>
    </row>
    <row r="232" spans="2:11">
      <c r="B232" s="252"/>
      <c r="C232" s="253">
        <v>0</v>
      </c>
      <c r="D232" s="252"/>
      <c r="E232" s="254" t="s">
        <v>43</v>
      </c>
      <c r="F232" s="255"/>
      <c r="I232" s="246" t="s">
        <v>43</v>
      </c>
      <c r="J232" s="241" t="str">
        <f t="shared" si="3"/>
        <v>-</v>
      </c>
      <c r="K232" s="235"/>
    </row>
    <row r="233" spans="2:11">
      <c r="B233" s="252"/>
      <c r="C233" s="253">
        <v>0</v>
      </c>
      <c r="D233" s="252"/>
      <c r="E233" s="254" t="s">
        <v>37</v>
      </c>
      <c r="F233" s="255"/>
      <c r="I233" s="246" t="s">
        <v>37</v>
      </c>
      <c r="J233" s="241" t="str">
        <f t="shared" si="3"/>
        <v>-</v>
      </c>
      <c r="K233" s="235"/>
    </row>
    <row r="234" spans="2:11">
      <c r="B234" s="252"/>
      <c r="C234" s="253">
        <v>0</v>
      </c>
      <c r="D234" s="252"/>
      <c r="E234" s="254" t="s">
        <v>223</v>
      </c>
      <c r="F234" s="255">
        <v>80</v>
      </c>
      <c r="G234" s="226" t="s">
        <v>3</v>
      </c>
      <c r="I234" s="246" t="s">
        <v>223</v>
      </c>
      <c r="J234" s="241">
        <f t="shared" si="3"/>
        <v>80</v>
      </c>
      <c r="K234" s="235" t="s">
        <v>3</v>
      </c>
    </row>
    <row r="235" spans="2:11">
      <c r="B235" s="252"/>
      <c r="C235" s="253">
        <v>0</v>
      </c>
      <c r="D235" s="252"/>
      <c r="E235" s="254" t="s">
        <v>191</v>
      </c>
      <c r="F235" s="255"/>
      <c r="I235" s="246" t="s">
        <v>191</v>
      </c>
      <c r="J235" s="241" t="str">
        <f t="shared" si="3"/>
        <v>-</v>
      </c>
      <c r="K235" s="235"/>
    </row>
    <row r="236" spans="2:11">
      <c r="B236" s="252"/>
      <c r="C236" s="253">
        <v>0</v>
      </c>
      <c r="D236" s="252"/>
      <c r="E236" s="254" t="s">
        <v>833</v>
      </c>
      <c r="F236" s="255"/>
      <c r="I236" s="246" t="s">
        <v>833</v>
      </c>
      <c r="J236" s="241" t="str">
        <f t="shared" si="3"/>
        <v>-</v>
      </c>
      <c r="K236" s="235"/>
    </row>
    <row r="237" spans="2:11">
      <c r="B237" s="252"/>
      <c r="C237" s="253">
        <v>0</v>
      </c>
      <c r="D237" s="252"/>
      <c r="E237" s="254" t="s">
        <v>35</v>
      </c>
      <c r="F237" s="255">
        <v>45</v>
      </c>
      <c r="G237" s="226" t="s">
        <v>6</v>
      </c>
      <c r="I237" s="246" t="s">
        <v>35</v>
      </c>
      <c r="J237" s="241">
        <f t="shared" si="3"/>
        <v>45</v>
      </c>
      <c r="K237" s="235" t="s">
        <v>6</v>
      </c>
    </row>
    <row r="238" spans="2:11">
      <c r="B238" s="252"/>
      <c r="C238" s="253">
        <v>0</v>
      </c>
      <c r="D238" s="252"/>
      <c r="E238" s="254" t="s">
        <v>225</v>
      </c>
      <c r="F238" s="255"/>
      <c r="I238" s="246" t="s">
        <v>225</v>
      </c>
      <c r="J238" s="241" t="str">
        <f t="shared" si="3"/>
        <v>-</v>
      </c>
      <c r="K238" s="235"/>
    </row>
    <row r="239" spans="2:11">
      <c r="B239" s="252"/>
      <c r="C239" s="253">
        <v>0</v>
      </c>
      <c r="D239" s="252"/>
      <c r="E239" s="254" t="s">
        <v>35</v>
      </c>
      <c r="F239" s="255">
        <v>80</v>
      </c>
      <c r="G239" s="226" t="s">
        <v>3</v>
      </c>
      <c r="I239" s="256" t="s">
        <v>35</v>
      </c>
      <c r="J239" s="262">
        <f t="shared" si="3"/>
        <v>80</v>
      </c>
      <c r="K239" s="249" t="s">
        <v>3</v>
      </c>
    </row>
    <row r="240" spans="2:11">
      <c r="B240" s="252"/>
      <c r="C240" s="253"/>
      <c r="E240" s="257"/>
      <c r="F240" s="258"/>
    </row>
    <row r="241" spans="2:7">
      <c r="B241" s="252"/>
      <c r="C241" s="253"/>
      <c r="E241" s="252"/>
      <c r="F241" s="253"/>
      <c r="G241" s="252"/>
    </row>
    <row r="242" spans="2:7">
      <c r="B242" s="252"/>
      <c r="C242" s="253"/>
      <c r="E242" s="252"/>
      <c r="F242" s="253"/>
      <c r="G242" s="252"/>
    </row>
    <row r="243" spans="2:7">
      <c r="B243" s="252"/>
      <c r="C243" s="253"/>
      <c r="E243" s="252"/>
      <c r="F243" s="253"/>
      <c r="G243" s="252"/>
    </row>
    <row r="244" spans="2:7">
      <c r="B244" s="252"/>
      <c r="C244" s="253"/>
      <c r="E244" s="252"/>
      <c r="F244" s="253"/>
      <c r="G244" s="252"/>
    </row>
    <row r="245" spans="2:7">
      <c r="B245" s="252"/>
      <c r="C245" s="253"/>
      <c r="E245" s="252"/>
      <c r="F245" s="253"/>
      <c r="G245" s="252"/>
    </row>
    <row r="246" spans="2:7">
      <c r="B246" s="252"/>
      <c r="C246" s="253"/>
    </row>
    <row r="247" spans="2:7">
      <c r="B247" s="252"/>
      <c r="C247" s="253"/>
    </row>
    <row r="248" spans="2:7">
      <c r="B248" s="252"/>
      <c r="C248" s="253"/>
    </row>
    <row r="249" spans="2:7">
      <c r="B249" s="252"/>
      <c r="C249" s="253"/>
    </row>
    <row r="250" spans="2:7">
      <c r="B250" s="252"/>
      <c r="C250" s="253"/>
    </row>
    <row r="251" spans="2:7">
      <c r="B251" s="252"/>
      <c r="C251" s="253"/>
    </row>
    <row r="252" spans="2:7">
      <c r="B252" s="252"/>
      <c r="C252" s="253"/>
    </row>
    <row r="253" spans="2:7">
      <c r="B253" s="252"/>
      <c r="C253" s="253"/>
    </row>
    <row r="254" spans="2:7">
      <c r="B254" s="252"/>
      <c r="C254" s="253"/>
    </row>
    <row r="255" spans="2:7">
      <c r="B255" s="252"/>
      <c r="C255" s="253"/>
    </row>
    <row r="256" spans="2:7">
      <c r="B256" s="252"/>
      <c r="C256" s="253"/>
    </row>
    <row r="257" spans="2:3">
      <c r="B257" s="252"/>
      <c r="C257" s="253"/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87"/>
  <sheetViews>
    <sheetView topLeftCell="A29" workbookViewId="0">
      <selection activeCell="F41" sqref="F41:G41"/>
    </sheetView>
  </sheetViews>
  <sheetFormatPr defaultRowHeight="12.75"/>
  <cols>
    <col min="1" max="1" width="9.140625" customWidth="1"/>
    <col min="7" max="7" width="11.140625" customWidth="1"/>
    <col min="16" max="16" width="43.140625" customWidth="1"/>
  </cols>
  <sheetData>
    <row r="2" spans="2:18">
      <c r="B2" t="s">
        <v>939</v>
      </c>
      <c r="F2" t="s">
        <v>940</v>
      </c>
      <c r="G2" t="s">
        <v>941</v>
      </c>
      <c r="J2" t="s">
        <v>942</v>
      </c>
      <c r="P2" s="226" t="s">
        <v>954</v>
      </c>
    </row>
    <row r="3" spans="2:18">
      <c r="B3">
        <v>122</v>
      </c>
      <c r="C3">
        <f>-2-4-2-2</f>
        <v>-10</v>
      </c>
      <c r="D3">
        <f>B3+C3</f>
        <v>112</v>
      </c>
      <c r="E3">
        <v>3.2</v>
      </c>
      <c r="F3">
        <f>E3*D3</f>
        <v>358.4</v>
      </c>
      <c r="J3" t="s">
        <v>943</v>
      </c>
    </row>
    <row r="4" spans="2:18" ht="18">
      <c r="B4">
        <v>122</v>
      </c>
      <c r="C4">
        <f>-2-4-2-2</f>
        <v>-10</v>
      </c>
      <c r="D4">
        <f>B4+C4</f>
        <v>112</v>
      </c>
      <c r="E4">
        <v>3.2</v>
      </c>
      <c r="F4">
        <f>E4*D4</f>
        <v>358.4</v>
      </c>
      <c r="J4" t="s">
        <v>377</v>
      </c>
      <c r="K4">
        <v>2.5</v>
      </c>
      <c r="L4">
        <v>1.5</v>
      </c>
      <c r="M4">
        <v>122</v>
      </c>
      <c r="N4" s="275">
        <f>M4*L4*K4</f>
        <v>457.5</v>
      </c>
      <c r="P4" s="280"/>
      <c r="Q4" s="1"/>
      <c r="R4" s="1"/>
    </row>
    <row r="5" spans="2:18" ht="18.75">
      <c r="B5">
        <v>122</v>
      </c>
      <c r="C5">
        <f>-2-4-2-2</f>
        <v>-10</v>
      </c>
      <c r="D5">
        <f>B5+C5</f>
        <v>112</v>
      </c>
      <c r="E5">
        <v>3.2</v>
      </c>
      <c r="F5">
        <f>E5*D5</f>
        <v>358.4</v>
      </c>
      <c r="J5" t="s">
        <v>381</v>
      </c>
      <c r="K5">
        <v>2.5</v>
      </c>
      <c r="L5">
        <v>0.5</v>
      </c>
      <c r="M5">
        <v>114</v>
      </c>
      <c r="N5" s="275">
        <f t="shared" ref="N5:N8" si="0">M5*L5*K5</f>
        <v>142.5</v>
      </c>
      <c r="P5" s="281"/>
      <c r="Q5" s="1"/>
      <c r="R5" s="1"/>
    </row>
    <row r="6" spans="2:18" ht="15">
      <c r="B6">
        <v>122</v>
      </c>
      <c r="C6">
        <f>-2-4-2-2</f>
        <v>-10</v>
      </c>
      <c r="D6">
        <f>B6+C6</f>
        <v>112</v>
      </c>
      <c r="E6">
        <v>3.2</v>
      </c>
      <c r="F6">
        <f>E6*D6</f>
        <v>358.4</v>
      </c>
      <c r="J6" t="s">
        <v>382</v>
      </c>
      <c r="K6">
        <v>1.5</v>
      </c>
      <c r="L6">
        <v>1</v>
      </c>
      <c r="M6">
        <v>7</v>
      </c>
      <c r="N6" s="275">
        <f t="shared" si="0"/>
        <v>10.5</v>
      </c>
      <c r="P6" s="282"/>
      <c r="Q6" s="283"/>
      <c r="R6" s="1"/>
    </row>
    <row r="7" spans="2:18" ht="15">
      <c r="C7">
        <v>15</v>
      </c>
      <c r="D7">
        <v>8</v>
      </c>
      <c r="E7">
        <v>3.2</v>
      </c>
      <c r="G7">
        <f>E7*D7*C7</f>
        <v>384</v>
      </c>
      <c r="J7" t="s">
        <v>383</v>
      </c>
      <c r="K7">
        <v>1</v>
      </c>
      <c r="L7">
        <v>1</v>
      </c>
      <c r="M7">
        <v>7</v>
      </c>
      <c r="N7" s="275">
        <f t="shared" si="0"/>
        <v>7</v>
      </c>
      <c r="P7" s="283"/>
      <c r="Q7" s="283"/>
      <c r="R7" s="1"/>
    </row>
    <row r="8" spans="2:18" ht="15">
      <c r="C8">
        <v>9</v>
      </c>
      <c r="D8">
        <v>8</v>
      </c>
      <c r="E8">
        <v>3.2</v>
      </c>
      <c r="G8">
        <f>E8*D8*C8</f>
        <v>230.4</v>
      </c>
      <c r="J8" t="s">
        <v>384</v>
      </c>
      <c r="K8">
        <v>2</v>
      </c>
      <c r="L8">
        <v>1</v>
      </c>
      <c r="M8">
        <v>13</v>
      </c>
      <c r="N8" s="275">
        <f t="shared" si="0"/>
        <v>26</v>
      </c>
      <c r="P8" s="283"/>
      <c r="Q8" s="36"/>
      <c r="R8" s="1"/>
    </row>
    <row r="9" spans="2:18">
      <c r="P9" s="283"/>
      <c r="Q9" s="36"/>
      <c r="R9" s="1"/>
    </row>
    <row r="10" spans="2:18">
      <c r="P10" s="283"/>
      <c r="Q10" s="283"/>
      <c r="R10" s="1"/>
    </row>
    <row r="11" spans="2:18">
      <c r="B11">
        <v>185</v>
      </c>
      <c r="C11">
        <v>-16</v>
      </c>
      <c r="D11">
        <f>B11-C11</f>
        <v>201</v>
      </c>
      <c r="E11">
        <v>3.2</v>
      </c>
      <c r="F11">
        <f>E11*D11</f>
        <v>643.20000000000005</v>
      </c>
      <c r="J11" t="s">
        <v>944</v>
      </c>
      <c r="P11" s="283"/>
      <c r="Q11" s="36"/>
      <c r="R11" s="1"/>
    </row>
    <row r="12" spans="2:18" ht="15">
      <c r="B12">
        <v>185</v>
      </c>
      <c r="C12">
        <v>-16</v>
      </c>
      <c r="D12">
        <f>B12-C12</f>
        <v>201</v>
      </c>
      <c r="E12">
        <v>3.2</v>
      </c>
      <c r="F12">
        <f>E12*D12</f>
        <v>643.20000000000005</v>
      </c>
      <c r="J12" t="s">
        <v>385</v>
      </c>
      <c r="K12">
        <v>0.8</v>
      </c>
      <c r="L12">
        <v>2.1</v>
      </c>
      <c r="M12">
        <v>67</v>
      </c>
      <c r="N12" s="275">
        <f>M12*L12*K12</f>
        <v>112.56</v>
      </c>
      <c r="P12" s="283"/>
      <c r="Q12" s="36"/>
      <c r="R12" s="1"/>
    </row>
    <row r="13" spans="2:18" ht="15">
      <c r="B13">
        <v>185</v>
      </c>
      <c r="C13">
        <v>-16</v>
      </c>
      <c r="D13">
        <f>B13-C13</f>
        <v>201</v>
      </c>
      <c r="E13">
        <v>3.2</v>
      </c>
      <c r="F13">
        <f>E13*D13</f>
        <v>643.20000000000005</v>
      </c>
      <c r="J13" t="s">
        <v>391</v>
      </c>
      <c r="K13">
        <v>1.5</v>
      </c>
      <c r="L13">
        <v>2.1</v>
      </c>
      <c r="M13">
        <v>1</v>
      </c>
      <c r="N13" s="275">
        <f>M13*L13*K13</f>
        <v>3.15</v>
      </c>
      <c r="P13" s="283"/>
      <c r="Q13" s="283"/>
      <c r="R13" s="1"/>
    </row>
    <row r="14" spans="2:18" ht="15">
      <c r="B14">
        <v>185</v>
      </c>
      <c r="C14">
        <v>-16</v>
      </c>
      <c r="D14">
        <f>B14-C14</f>
        <v>201</v>
      </c>
      <c r="E14">
        <v>3.2</v>
      </c>
      <c r="F14">
        <f>E14*D14</f>
        <v>643.20000000000005</v>
      </c>
      <c r="J14" t="s">
        <v>393</v>
      </c>
      <c r="K14">
        <v>2</v>
      </c>
      <c r="L14">
        <v>3.1</v>
      </c>
      <c r="M14">
        <v>1</v>
      </c>
      <c r="N14" s="275">
        <f t="shared" ref="N14:N15" si="1">M14*L14*K14</f>
        <v>6.2</v>
      </c>
      <c r="P14" s="283"/>
      <c r="Q14" s="36"/>
      <c r="R14" s="1"/>
    </row>
    <row r="15" spans="2:18" ht="15">
      <c r="C15">
        <v>17</v>
      </c>
      <c r="D15">
        <v>8</v>
      </c>
      <c r="E15">
        <v>3.2</v>
      </c>
      <c r="G15">
        <f>E15*D15*C15</f>
        <v>435.2</v>
      </c>
      <c r="J15" t="s">
        <v>396</v>
      </c>
      <c r="K15">
        <v>1.5</v>
      </c>
      <c r="L15">
        <v>3.1</v>
      </c>
      <c r="M15">
        <v>12</v>
      </c>
      <c r="N15" s="275">
        <f t="shared" si="1"/>
        <v>55.8</v>
      </c>
      <c r="P15" s="283"/>
      <c r="Q15" s="36"/>
      <c r="R15" s="1"/>
    </row>
    <row r="16" spans="2:18">
      <c r="C16">
        <v>16</v>
      </c>
      <c r="D16">
        <v>8</v>
      </c>
      <c r="E16">
        <v>3.2</v>
      </c>
      <c r="G16">
        <f>E16*D16*C16</f>
        <v>409.6</v>
      </c>
      <c r="P16" s="283"/>
      <c r="Q16" s="283"/>
      <c r="R16" s="1"/>
    </row>
    <row r="17" spans="2:18">
      <c r="P17" s="283"/>
      <c r="Q17" s="36"/>
      <c r="R17" s="1"/>
    </row>
    <row r="18" spans="2:18" ht="15">
      <c r="F18" s="72"/>
      <c r="G18" s="72"/>
      <c r="H18" s="72"/>
      <c r="I18" s="72"/>
      <c r="J18" s="72"/>
      <c r="K18" s="72"/>
      <c r="L18" s="72"/>
      <c r="M18" s="72"/>
      <c r="N18" s="276">
        <f>SUM(N4:N15)</f>
        <v>821.21</v>
      </c>
      <c r="P18" s="283"/>
      <c r="Q18" s="283"/>
      <c r="R18" s="1"/>
    </row>
    <row r="19" spans="2:18">
      <c r="B19" t="s">
        <v>939</v>
      </c>
      <c r="E19" t="s">
        <v>945</v>
      </c>
      <c r="P19" s="283"/>
      <c r="Q19" s="36"/>
      <c r="R19" s="1"/>
    </row>
    <row r="20" spans="2:18">
      <c r="B20" t="s">
        <v>946</v>
      </c>
      <c r="P20" s="283"/>
      <c r="Q20" s="283"/>
      <c r="R20" s="1"/>
    </row>
    <row r="21" spans="2:18">
      <c r="B21" t="s">
        <v>947</v>
      </c>
      <c r="P21" s="283"/>
      <c r="Q21" s="36"/>
      <c r="R21" s="1"/>
    </row>
    <row r="22" spans="2:18">
      <c r="C22">
        <v>2</v>
      </c>
      <c r="D22">
        <v>6.5</v>
      </c>
      <c r="E22">
        <v>3.5</v>
      </c>
      <c r="F22" s="72">
        <f>E22*D22*C22</f>
        <v>45.5</v>
      </c>
      <c r="G22" s="13"/>
      <c r="P22" s="283"/>
      <c r="Q22" s="283"/>
      <c r="R22" s="1"/>
    </row>
    <row r="23" spans="2:18">
      <c r="C23">
        <v>2</v>
      </c>
      <c r="D23">
        <v>7.5</v>
      </c>
      <c r="E23">
        <v>3.5</v>
      </c>
      <c r="F23" s="72">
        <f>E23*D23*C23</f>
        <v>52.5</v>
      </c>
      <c r="G23" s="13"/>
      <c r="P23" s="283"/>
      <c r="Q23" s="36"/>
      <c r="R23" s="1"/>
    </row>
    <row r="24" spans="2:18">
      <c r="F24" s="72"/>
      <c r="P24" s="283"/>
      <c r="Q24" s="283"/>
      <c r="R24" s="1"/>
    </row>
    <row r="25" spans="2:18">
      <c r="C25">
        <v>2</v>
      </c>
      <c r="D25">
        <v>4</v>
      </c>
      <c r="E25">
        <v>3.5</v>
      </c>
      <c r="F25" s="72">
        <f t="shared" ref="F25:F26" si="2">E25*D25*C25</f>
        <v>28</v>
      </c>
      <c r="P25" s="283"/>
      <c r="Q25" s="36"/>
      <c r="R25" s="1"/>
    </row>
    <row r="26" spans="2:18">
      <c r="C26">
        <v>2</v>
      </c>
      <c r="D26">
        <v>7.5</v>
      </c>
      <c r="E26">
        <v>3.5</v>
      </c>
      <c r="F26" s="72">
        <f t="shared" si="2"/>
        <v>52.5</v>
      </c>
      <c r="P26" s="283"/>
      <c r="Q26" s="36"/>
      <c r="R26" s="1"/>
    </row>
    <row r="27" spans="2:18">
      <c r="P27" s="283"/>
      <c r="Q27" s="283"/>
      <c r="R27" s="1"/>
    </row>
    <row r="28" spans="2:18">
      <c r="H28" s="72"/>
      <c r="P28" s="283"/>
      <c r="Q28" s="36"/>
      <c r="R28" s="1"/>
    </row>
    <row r="29" spans="2:18">
      <c r="H29" s="72"/>
      <c r="P29" s="282"/>
      <c r="Q29" s="283"/>
      <c r="R29" s="1"/>
    </row>
    <row r="30" spans="2:18">
      <c r="H30" s="72"/>
      <c r="P30" s="283"/>
      <c r="Q30" s="283"/>
      <c r="R30" s="1"/>
    </row>
    <row r="31" spans="2:18">
      <c r="H31" s="72"/>
      <c r="P31" s="283"/>
      <c r="Q31" s="36"/>
      <c r="R31" s="1"/>
    </row>
    <row r="32" spans="2:18">
      <c r="G32" s="72"/>
      <c r="H32" s="72"/>
      <c r="P32" s="283"/>
      <c r="Q32" s="36"/>
      <c r="R32" s="1"/>
    </row>
    <row r="33" spans="2:18">
      <c r="B33" t="s">
        <v>425</v>
      </c>
      <c r="F33">
        <f>SUM(F3:F26)</f>
        <v>4184.8999999999996</v>
      </c>
      <c r="G33" s="72">
        <f>SUM(G3:G26)</f>
        <v>1459.2</v>
      </c>
      <c r="P33" s="283"/>
      <c r="Q33" s="283"/>
      <c r="R33" s="1"/>
    </row>
    <row r="34" spans="2:18">
      <c r="B34" t="s">
        <v>948</v>
      </c>
      <c r="G34" s="72">
        <f>F33+G33</f>
        <v>5644.1</v>
      </c>
      <c r="N34" s="13"/>
      <c r="P34" s="283"/>
      <c r="Q34" s="36"/>
      <c r="R34" s="1"/>
    </row>
    <row r="35" spans="2:18">
      <c r="B35" t="s">
        <v>949</v>
      </c>
      <c r="G35" s="72">
        <f>821.21*(-1)</f>
        <v>-821.21</v>
      </c>
      <c r="H35" s="13"/>
      <c r="P35" s="283"/>
      <c r="Q35" s="283"/>
      <c r="R35" s="1"/>
    </row>
    <row r="36" spans="2:18" ht="15">
      <c r="B36" s="277" t="s">
        <v>950</v>
      </c>
      <c r="C36" s="277"/>
      <c r="D36" s="277"/>
      <c r="E36" s="277"/>
      <c r="F36" s="277"/>
      <c r="G36" s="278">
        <f>G34+G35</f>
        <v>4822.8900000000003</v>
      </c>
      <c r="H36" s="13"/>
      <c r="I36" s="13">
        <f>F33+G35</f>
        <v>3363.69</v>
      </c>
      <c r="P36" s="283"/>
      <c r="Q36" s="36"/>
      <c r="R36" s="1"/>
    </row>
    <row r="37" spans="2:18">
      <c r="P37" s="283"/>
      <c r="Q37" s="36"/>
      <c r="R37" s="1"/>
    </row>
    <row r="38" spans="2:18">
      <c r="B38" t="s">
        <v>951</v>
      </c>
      <c r="F38" s="13"/>
      <c r="G38" s="13">
        <f>G36*2</f>
        <v>9645.7800000000007</v>
      </c>
      <c r="H38" s="13"/>
      <c r="P38" s="282"/>
      <c r="Q38" s="283"/>
      <c r="R38" s="1"/>
    </row>
    <row r="39" spans="2:18">
      <c r="B39" t="s">
        <v>952</v>
      </c>
      <c r="G39">
        <v>160</v>
      </c>
      <c r="P39" s="283"/>
      <c r="Q39" s="283"/>
      <c r="R39" s="1"/>
    </row>
    <row r="40" spans="2:18" ht="15">
      <c r="B40" s="277" t="s">
        <v>953</v>
      </c>
      <c r="C40" s="277"/>
      <c r="D40" s="277"/>
      <c r="E40" s="277"/>
      <c r="F40" s="279"/>
      <c r="G40" s="279">
        <f>SUM(G38:G39)</f>
        <v>9805.7800000000007</v>
      </c>
      <c r="H40" s="13"/>
      <c r="P40" s="283"/>
      <c r="Q40" s="36"/>
      <c r="R40" s="1"/>
    </row>
    <row r="41" spans="2:18" ht="15">
      <c r="F41" s="301" t="s">
        <v>953</v>
      </c>
      <c r="G41">
        <v>9805.7800000000007</v>
      </c>
      <c r="P41" s="283"/>
      <c r="Q41" s="36"/>
      <c r="R41" s="1"/>
    </row>
    <row r="42" spans="2:18">
      <c r="P42" s="283"/>
      <c r="Q42" s="36"/>
      <c r="R42" s="1"/>
    </row>
    <row r="43" spans="2:18">
      <c r="F43" s="13"/>
      <c r="H43" s="284"/>
      <c r="K43" s="284"/>
      <c r="N43" s="284"/>
      <c r="Q43" s="36"/>
      <c r="R43" s="1"/>
    </row>
    <row r="44" spans="2:18">
      <c r="F44" s="13"/>
      <c r="G44" s="227"/>
      <c r="H44" s="181"/>
      <c r="I44" s="82"/>
      <c r="J44" s="228"/>
      <c r="K44" s="285"/>
      <c r="N44" s="228"/>
      <c r="O44" s="70"/>
      <c r="P44" s="286"/>
      <c r="Q44" s="36"/>
      <c r="R44" s="1"/>
    </row>
    <row r="45" spans="2:18" ht="18.75">
      <c r="G45" s="287"/>
      <c r="H45" s="274"/>
      <c r="I45" s="42"/>
      <c r="J45" s="288"/>
      <c r="K45" s="289"/>
      <c r="N45" s="164"/>
      <c r="O45" s="41"/>
      <c r="P45" s="290"/>
      <c r="Q45" s="36"/>
      <c r="R45" s="1"/>
    </row>
    <row r="46" spans="2:18" ht="15">
      <c r="G46" s="291"/>
      <c r="H46" s="292"/>
      <c r="I46" s="42"/>
      <c r="J46" s="293"/>
      <c r="K46" s="294"/>
      <c r="N46" s="293"/>
      <c r="O46" s="292"/>
      <c r="P46" s="290"/>
      <c r="Q46" s="36"/>
      <c r="R46" s="1"/>
    </row>
    <row r="47" spans="2:18" ht="15">
      <c r="G47" s="295"/>
      <c r="H47" s="292"/>
      <c r="I47" s="42"/>
      <c r="J47" s="296"/>
      <c r="K47" s="294"/>
      <c r="N47" s="296"/>
      <c r="O47" s="292"/>
      <c r="P47" s="290"/>
      <c r="Q47" s="283"/>
      <c r="R47" s="1"/>
    </row>
    <row r="48" spans="2:18" ht="15">
      <c r="G48" s="295"/>
      <c r="H48" s="292"/>
      <c r="I48" s="42"/>
      <c r="J48" s="296"/>
      <c r="K48" s="294"/>
      <c r="N48" s="296"/>
      <c r="O48" s="292"/>
      <c r="P48" s="290"/>
      <c r="Q48" s="283"/>
      <c r="R48" s="1"/>
    </row>
    <row r="49" spans="7:18" ht="15">
      <c r="G49" s="295"/>
      <c r="H49" s="297"/>
      <c r="I49" s="42"/>
      <c r="J49" s="296"/>
      <c r="K49" s="298"/>
      <c r="N49" s="296"/>
      <c r="O49" s="297"/>
      <c r="P49" s="290"/>
      <c r="Q49" s="36"/>
      <c r="R49" s="1"/>
    </row>
    <row r="50" spans="7:18" ht="15">
      <c r="G50" s="295"/>
      <c r="H50" s="292"/>
      <c r="I50" s="42"/>
      <c r="J50" s="296"/>
      <c r="K50" s="294"/>
      <c r="N50" s="296"/>
      <c r="O50" s="297"/>
      <c r="P50" s="290"/>
      <c r="Q50" s="36"/>
      <c r="R50" s="1"/>
    </row>
    <row r="51" spans="7:18" ht="15">
      <c r="G51" s="295"/>
      <c r="H51" s="297"/>
      <c r="I51" s="42"/>
      <c r="J51" s="296"/>
      <c r="K51" s="298"/>
      <c r="N51" s="296"/>
      <c r="O51" s="297"/>
      <c r="P51" s="290"/>
      <c r="Q51" s="283"/>
      <c r="R51" s="1"/>
    </row>
    <row r="52" spans="7:18" ht="15">
      <c r="G52" s="295"/>
      <c r="H52" s="292"/>
      <c r="I52" s="42"/>
      <c r="J52" s="296"/>
      <c r="K52" s="294"/>
      <c r="N52" s="296"/>
      <c r="O52" s="297"/>
      <c r="P52" s="290"/>
      <c r="Q52" s="36"/>
      <c r="R52" s="1"/>
    </row>
    <row r="53" spans="7:18" ht="15">
      <c r="G53" s="295"/>
      <c r="H53" s="297"/>
      <c r="I53" s="42"/>
      <c r="J53" s="296"/>
      <c r="K53" s="298"/>
      <c r="N53" s="296"/>
      <c r="O53" s="297"/>
      <c r="P53" s="290"/>
      <c r="Q53" s="283"/>
      <c r="R53" s="1"/>
    </row>
    <row r="54" spans="7:18" ht="15">
      <c r="G54" s="40"/>
      <c r="H54" s="274"/>
      <c r="I54" s="42"/>
      <c r="J54" s="296"/>
      <c r="K54" s="294"/>
      <c r="N54" s="296"/>
      <c r="O54" s="297"/>
      <c r="P54" s="290"/>
      <c r="Q54" s="36"/>
      <c r="R54" s="1"/>
    </row>
    <row r="55" spans="7:18" ht="15">
      <c r="G55" s="295"/>
      <c r="H55" s="292"/>
      <c r="I55" s="42"/>
      <c r="J55" s="296"/>
      <c r="K55" s="298"/>
      <c r="N55" s="296"/>
      <c r="O55" s="297"/>
      <c r="P55" s="290"/>
      <c r="Q55" s="283"/>
      <c r="R55" s="1"/>
    </row>
    <row r="56" spans="7:18" ht="15">
      <c r="G56" s="295"/>
      <c r="H56" s="297"/>
      <c r="I56" s="42"/>
      <c r="J56" s="296"/>
      <c r="K56" s="294"/>
      <c r="N56" s="296"/>
      <c r="O56" s="297"/>
      <c r="P56" s="290"/>
      <c r="Q56" s="283"/>
      <c r="R56" s="1"/>
    </row>
    <row r="57" spans="7:18" ht="15">
      <c r="G57" s="295"/>
      <c r="H57" s="297"/>
      <c r="I57" s="42"/>
      <c r="J57" s="296"/>
      <c r="K57" s="298"/>
      <c r="N57" s="296"/>
      <c r="O57" s="297"/>
      <c r="P57" s="290"/>
      <c r="Q57" s="36"/>
      <c r="R57" s="1"/>
    </row>
    <row r="58" spans="7:18" ht="15">
      <c r="H58" s="284"/>
      <c r="J58" s="296"/>
      <c r="K58" s="298"/>
      <c r="N58" s="296"/>
      <c r="O58" s="297"/>
      <c r="P58" s="290"/>
      <c r="Q58" s="36"/>
      <c r="R58" s="1"/>
    </row>
    <row r="59" spans="7:18" ht="15">
      <c r="H59" s="284"/>
      <c r="J59" s="296"/>
      <c r="K59" s="298"/>
      <c r="N59" s="296"/>
      <c r="O59" s="297"/>
      <c r="P59" s="290"/>
      <c r="Q59" s="283"/>
      <c r="R59" s="1"/>
    </row>
    <row r="60" spans="7:18" ht="15">
      <c r="G60" s="295"/>
      <c r="H60" s="297"/>
      <c r="I60" s="42"/>
      <c r="J60" s="296"/>
      <c r="K60" s="298"/>
      <c r="N60" s="296"/>
      <c r="O60" s="297"/>
      <c r="P60" s="290"/>
      <c r="Q60" s="36"/>
      <c r="R60" s="1"/>
    </row>
    <row r="61" spans="7:18" ht="15">
      <c r="G61" s="291"/>
      <c r="H61" s="292"/>
      <c r="I61" s="42"/>
      <c r="J61" s="293"/>
      <c r="K61" s="294"/>
      <c r="N61" s="293"/>
      <c r="O61" s="297"/>
      <c r="P61" s="290"/>
      <c r="Q61" s="36"/>
      <c r="R61" s="1"/>
    </row>
    <row r="62" spans="7:18" ht="15">
      <c r="G62" s="295"/>
      <c r="H62" s="292"/>
      <c r="I62" s="42"/>
      <c r="J62" s="296"/>
      <c r="K62" s="294"/>
      <c r="N62" s="296"/>
      <c r="O62" s="297"/>
      <c r="P62" s="290"/>
      <c r="Q62" s="283"/>
      <c r="R62" s="1"/>
    </row>
    <row r="63" spans="7:18" ht="15">
      <c r="G63" s="295"/>
      <c r="H63" s="297"/>
      <c r="I63" s="42"/>
      <c r="J63" s="296"/>
      <c r="K63" s="298"/>
      <c r="N63" s="296"/>
      <c r="O63" s="297"/>
      <c r="P63" s="290"/>
      <c r="Q63" s="36"/>
      <c r="R63" s="1"/>
    </row>
    <row r="64" spans="7:18" ht="15">
      <c r="G64" s="295"/>
      <c r="H64" s="297"/>
      <c r="I64" s="42"/>
      <c r="J64" s="296"/>
      <c r="K64" s="298"/>
      <c r="N64" s="296"/>
      <c r="O64" s="297"/>
      <c r="P64" s="290"/>
      <c r="Q64" s="283"/>
      <c r="R64" s="1"/>
    </row>
    <row r="65" spans="7:18" ht="15">
      <c r="G65" s="295"/>
      <c r="H65" s="297"/>
      <c r="I65" s="42"/>
      <c r="J65" s="296"/>
      <c r="K65" s="298"/>
      <c r="N65" s="296"/>
      <c r="O65" s="297"/>
      <c r="P65" s="290"/>
      <c r="Q65" s="283"/>
      <c r="R65" s="1"/>
    </row>
    <row r="66" spans="7:18" ht="15">
      <c r="G66" s="295"/>
      <c r="H66" s="297"/>
      <c r="I66" s="42"/>
      <c r="J66" s="296"/>
      <c r="K66" s="298"/>
      <c r="N66" s="296"/>
      <c r="O66" s="297"/>
      <c r="P66" s="290"/>
      <c r="Q66" s="36"/>
      <c r="R66" s="1"/>
    </row>
    <row r="67" spans="7:18" ht="15">
      <c r="G67" s="295"/>
      <c r="H67" s="297"/>
      <c r="I67" s="42"/>
      <c r="J67" s="296"/>
      <c r="K67" s="298"/>
      <c r="N67" s="296"/>
      <c r="O67" s="297"/>
      <c r="P67" s="290"/>
      <c r="Q67" s="283"/>
      <c r="R67" s="1"/>
    </row>
    <row r="68" spans="7:18" ht="15">
      <c r="G68" s="295"/>
      <c r="H68" s="297"/>
      <c r="I68" s="42"/>
      <c r="J68" s="296"/>
      <c r="K68" s="298"/>
      <c r="N68" s="296"/>
      <c r="O68" s="297"/>
      <c r="P68" s="290"/>
      <c r="Q68" s="36"/>
      <c r="R68" s="1"/>
    </row>
    <row r="69" spans="7:18" ht="15">
      <c r="G69" s="295"/>
      <c r="H69" s="297"/>
      <c r="I69" s="42"/>
      <c r="J69" s="296"/>
      <c r="K69" s="298"/>
      <c r="N69" s="296"/>
      <c r="O69" s="297"/>
      <c r="P69" s="290"/>
      <c r="Q69" s="36"/>
      <c r="R69" s="1"/>
    </row>
    <row r="70" spans="7:18" ht="15">
      <c r="G70" s="296"/>
      <c r="H70" s="297"/>
      <c r="I70" s="42"/>
      <c r="J70" s="296"/>
      <c r="K70" s="298"/>
      <c r="N70" s="296"/>
      <c r="O70" s="297"/>
      <c r="P70" s="290"/>
      <c r="Q70" s="36"/>
      <c r="R70" s="1"/>
    </row>
    <row r="71" spans="7:18" ht="15">
      <c r="G71" s="295"/>
      <c r="H71" s="284"/>
      <c r="J71" s="296"/>
      <c r="K71" s="298"/>
      <c r="N71" s="296"/>
      <c r="O71" s="297"/>
      <c r="P71" s="290"/>
      <c r="Q71" s="283"/>
      <c r="R71" s="1"/>
    </row>
    <row r="72" spans="7:18" ht="15">
      <c r="G72" s="295"/>
      <c r="H72" s="297"/>
      <c r="I72" s="42"/>
      <c r="J72" s="296"/>
      <c r="K72" s="298"/>
      <c r="N72" s="296"/>
      <c r="O72" s="297"/>
      <c r="P72" s="290"/>
      <c r="Q72" s="36"/>
      <c r="R72" s="1"/>
    </row>
    <row r="73" spans="7:18" ht="15">
      <c r="G73" s="295"/>
      <c r="H73" s="297"/>
      <c r="I73" s="42"/>
      <c r="J73" s="293"/>
      <c r="K73" s="294"/>
      <c r="N73" s="293"/>
      <c r="O73" s="297"/>
      <c r="P73" s="290"/>
      <c r="Q73" s="283"/>
      <c r="R73" s="1"/>
    </row>
    <row r="74" spans="7:18" ht="15">
      <c r="G74" s="295"/>
      <c r="H74" s="297"/>
      <c r="I74" s="42"/>
      <c r="J74" s="296"/>
      <c r="K74" s="294"/>
      <c r="N74" s="296"/>
      <c r="O74" s="297"/>
      <c r="P74" s="290"/>
      <c r="Q74" s="283"/>
      <c r="R74" s="1"/>
    </row>
    <row r="75" spans="7:18" ht="15">
      <c r="G75" s="295"/>
      <c r="H75" s="297"/>
      <c r="I75" s="42"/>
      <c r="J75" s="296"/>
      <c r="K75" s="298"/>
      <c r="N75" s="296"/>
      <c r="O75" s="297"/>
      <c r="P75" s="290"/>
      <c r="Q75" s="36"/>
      <c r="R75" s="1"/>
    </row>
    <row r="76" spans="7:18" ht="15">
      <c r="G76" s="40"/>
      <c r="H76" s="274"/>
      <c r="I76" s="42"/>
      <c r="J76" s="296"/>
      <c r="K76" s="298"/>
      <c r="N76" s="296"/>
      <c r="O76" s="297"/>
      <c r="P76" s="290"/>
      <c r="Q76" s="283"/>
      <c r="R76" s="1"/>
    </row>
    <row r="77" spans="7:18" ht="15">
      <c r="G77" s="295"/>
      <c r="H77" s="297"/>
      <c r="I77" s="42"/>
      <c r="J77" s="293"/>
      <c r="K77" s="294"/>
      <c r="N77" s="293"/>
      <c r="O77" s="297"/>
      <c r="P77" s="290"/>
      <c r="Q77" s="36"/>
      <c r="R77" s="1"/>
    </row>
    <row r="78" spans="7:18" ht="15">
      <c r="G78" s="40"/>
      <c r="H78" s="274"/>
      <c r="I78" s="42"/>
      <c r="J78" s="296"/>
      <c r="K78" s="294"/>
      <c r="N78" s="296"/>
      <c r="O78" s="297"/>
      <c r="P78" s="290"/>
      <c r="Q78" s="283"/>
      <c r="R78" s="1"/>
    </row>
    <row r="79" spans="7:18" ht="15">
      <c r="G79" s="295"/>
      <c r="H79" s="297"/>
      <c r="I79" s="42"/>
      <c r="J79" s="296"/>
      <c r="K79" s="298"/>
      <c r="N79" s="296"/>
      <c r="O79" s="297"/>
      <c r="P79" s="290"/>
      <c r="Q79" s="36"/>
      <c r="R79" s="1"/>
    </row>
    <row r="80" spans="7:18" ht="15">
      <c r="G80" s="40"/>
      <c r="H80" s="274"/>
      <c r="I80" s="42"/>
      <c r="J80" s="296"/>
      <c r="K80" s="298"/>
      <c r="N80" s="296"/>
      <c r="O80" s="297"/>
      <c r="P80" s="290"/>
      <c r="Q80" s="36"/>
      <c r="R80" s="1"/>
    </row>
    <row r="81" spans="7:18" ht="15">
      <c r="G81" s="40"/>
      <c r="H81" s="274"/>
      <c r="I81" s="42"/>
      <c r="J81" s="296"/>
      <c r="K81" s="298"/>
      <c r="N81" s="296"/>
      <c r="O81" s="297"/>
      <c r="P81" s="290"/>
      <c r="Q81" s="283"/>
      <c r="R81" s="1"/>
    </row>
    <row r="82" spans="7:18">
      <c r="P82" s="283"/>
      <c r="Q82" s="36"/>
      <c r="R82" s="1"/>
    </row>
    <row r="83" spans="7:18">
      <c r="P83" s="283"/>
      <c r="Q83" s="283"/>
      <c r="R83" s="1"/>
    </row>
    <row r="84" spans="7:18">
      <c r="P84" s="283"/>
      <c r="Q84" s="36"/>
      <c r="R84" s="1"/>
    </row>
    <row r="85" spans="7:18">
      <c r="P85" s="283"/>
      <c r="Q85" s="283"/>
      <c r="R85" s="1"/>
    </row>
    <row r="86" spans="7:18">
      <c r="P86" s="283"/>
      <c r="Q86" s="36"/>
      <c r="R86" s="1"/>
    </row>
    <row r="87" spans="7:18">
      <c r="P87" s="283"/>
      <c r="Q87" s="36"/>
      <c r="R87" s="1"/>
    </row>
    <row r="88" spans="7:18">
      <c r="P88" s="282"/>
      <c r="Q88" s="283"/>
      <c r="R88" s="1"/>
    </row>
    <row r="89" spans="7:18">
      <c r="P89" s="283"/>
      <c r="Q89" s="283"/>
      <c r="R89" s="1"/>
    </row>
    <row r="90" spans="7:18">
      <c r="P90" s="283"/>
      <c r="Q90" s="36"/>
      <c r="R90" s="1"/>
    </row>
    <row r="91" spans="7:18">
      <c r="P91" s="283"/>
      <c r="Q91" s="36"/>
      <c r="R91" s="1"/>
    </row>
    <row r="92" spans="7:18">
      <c r="P92" s="283"/>
      <c r="Q92" s="36"/>
      <c r="R92" s="1"/>
    </row>
    <row r="93" spans="7:18">
      <c r="P93" s="283"/>
      <c r="Q93" s="36"/>
      <c r="R93" s="1"/>
    </row>
    <row r="94" spans="7:18">
      <c r="P94" s="283"/>
      <c r="Q94" s="36"/>
      <c r="R94" s="1"/>
    </row>
    <row r="95" spans="7:18">
      <c r="P95" s="283"/>
      <c r="Q95" s="36"/>
      <c r="R95" s="1"/>
    </row>
    <row r="96" spans="7:18">
      <c r="P96" s="283"/>
      <c r="Q96" s="36"/>
      <c r="R96" s="1"/>
    </row>
    <row r="97" spans="16:18">
      <c r="P97" s="283"/>
      <c r="Q97" s="36"/>
      <c r="R97" s="1"/>
    </row>
    <row r="98" spans="16:18">
      <c r="P98" s="283"/>
      <c r="Q98" s="36"/>
      <c r="R98" s="1"/>
    </row>
    <row r="99" spans="16:18">
      <c r="P99" s="283"/>
      <c r="Q99" s="36"/>
      <c r="R99" s="1"/>
    </row>
    <row r="100" spans="16:18">
      <c r="P100" s="283"/>
      <c r="Q100" s="36"/>
      <c r="R100" s="1"/>
    </row>
    <row r="101" spans="16:18">
      <c r="P101" s="282"/>
      <c r="Q101" s="283"/>
      <c r="R101" s="1"/>
    </row>
    <row r="102" spans="16:18">
      <c r="P102" s="283"/>
      <c r="Q102" s="283"/>
      <c r="R102" s="1"/>
    </row>
    <row r="103" spans="16:18">
      <c r="P103" s="283"/>
      <c r="Q103" s="36"/>
      <c r="R103" s="1"/>
    </row>
    <row r="104" spans="16:18">
      <c r="P104" s="283"/>
      <c r="Q104" s="36"/>
      <c r="R104" s="1"/>
    </row>
    <row r="105" spans="16:18">
      <c r="P105" s="283"/>
      <c r="Q105" s="283"/>
      <c r="R105" s="1"/>
    </row>
    <row r="106" spans="16:18">
      <c r="P106" s="283"/>
      <c r="Q106" s="36"/>
      <c r="R106" s="1"/>
    </row>
    <row r="107" spans="16:18">
      <c r="P107" s="283"/>
      <c r="Q107" s="36"/>
      <c r="R107" s="1"/>
    </row>
    <row r="108" spans="16:18">
      <c r="P108" s="283"/>
      <c r="Q108" s="36"/>
      <c r="R108" s="1"/>
    </row>
    <row r="109" spans="16:18">
      <c r="P109" s="282"/>
      <c r="Q109" s="283"/>
      <c r="R109" s="1"/>
    </row>
    <row r="110" spans="16:18">
      <c r="P110" s="283"/>
      <c r="Q110" s="283"/>
      <c r="R110" s="1"/>
    </row>
    <row r="111" spans="16:18">
      <c r="P111" s="283"/>
      <c r="Q111" s="36"/>
      <c r="R111" s="1"/>
    </row>
    <row r="112" spans="16:18">
      <c r="P112" s="283"/>
      <c r="Q112" s="36"/>
      <c r="R112" s="1"/>
    </row>
    <row r="113" spans="16:18">
      <c r="P113" s="282"/>
      <c r="Q113" s="283"/>
      <c r="R113" s="1"/>
    </row>
    <row r="114" spans="16:18">
      <c r="P114" s="283"/>
      <c r="Q114" s="283"/>
      <c r="R114" s="1"/>
    </row>
    <row r="115" spans="16:18">
      <c r="P115" s="283"/>
      <c r="Q115" s="36"/>
      <c r="R115" s="1"/>
    </row>
    <row r="116" spans="16:18">
      <c r="P116" s="283"/>
      <c r="Q116" s="36"/>
      <c r="R116" s="1"/>
    </row>
    <row r="117" spans="16:18">
      <c r="P117" s="283"/>
      <c r="Q117" s="36"/>
      <c r="R117" s="1"/>
    </row>
    <row r="118" spans="16:18">
      <c r="P118" s="283"/>
      <c r="Q118" s="36"/>
      <c r="R118" s="1"/>
    </row>
    <row r="119" spans="16:18">
      <c r="P119" s="283"/>
      <c r="Q119" s="283"/>
      <c r="R119" s="1"/>
    </row>
    <row r="120" spans="16:18">
      <c r="P120" s="283"/>
      <c r="Q120" s="36"/>
      <c r="R120" s="1"/>
    </row>
    <row r="121" spans="16:18">
      <c r="P121" s="283"/>
      <c r="Q121" s="36"/>
      <c r="R121" s="1"/>
    </row>
    <row r="122" spans="16:18">
      <c r="P122" s="283"/>
      <c r="Q122" s="36"/>
      <c r="R122" s="1"/>
    </row>
    <row r="123" spans="16:18">
      <c r="P123" s="283"/>
      <c r="Q123" s="36"/>
      <c r="R123" s="1"/>
    </row>
    <row r="124" spans="16:18">
      <c r="P124" s="282"/>
      <c r="Q124" s="283"/>
      <c r="R124" s="1"/>
    </row>
    <row r="125" spans="16:18">
      <c r="P125" s="283"/>
      <c r="Q125" s="283"/>
      <c r="R125" s="1"/>
    </row>
    <row r="126" spans="16:18">
      <c r="P126" s="283"/>
      <c r="Q126" s="36"/>
      <c r="R126" s="1"/>
    </row>
    <row r="127" spans="16:18">
      <c r="P127" s="283"/>
      <c r="Q127" s="283"/>
      <c r="R127" s="1"/>
    </row>
    <row r="128" spans="16:18">
      <c r="P128" s="283"/>
      <c r="Q128" s="36"/>
      <c r="R128" s="1"/>
    </row>
    <row r="129" spans="16:18">
      <c r="P129" s="282"/>
      <c r="Q129" s="283"/>
      <c r="R129" s="1"/>
    </row>
    <row r="130" spans="16:18">
      <c r="P130" s="283"/>
      <c r="Q130" s="283"/>
      <c r="R130" s="1"/>
    </row>
    <row r="131" spans="16:18">
      <c r="P131" s="283"/>
      <c r="Q131" s="36"/>
      <c r="R131" s="1"/>
    </row>
    <row r="132" spans="16:18">
      <c r="P132" s="283"/>
      <c r="Q132" s="283"/>
      <c r="R132" s="1"/>
    </row>
    <row r="133" spans="16:18">
      <c r="P133" s="283"/>
      <c r="Q133" s="36"/>
      <c r="R133" s="1"/>
    </row>
    <row r="134" spans="16:18">
      <c r="P134" s="282"/>
      <c r="Q134" s="283"/>
      <c r="R134" s="1"/>
    </row>
    <row r="135" spans="16:18">
      <c r="P135" s="283"/>
      <c r="Q135" s="283"/>
      <c r="R135" s="1"/>
    </row>
    <row r="136" spans="16:18">
      <c r="P136" s="283"/>
      <c r="Q136" s="36"/>
      <c r="R136" s="1"/>
    </row>
    <row r="137" spans="16:18">
      <c r="P137" s="282"/>
      <c r="Q137" s="283"/>
      <c r="R137" s="1"/>
    </row>
    <row r="138" spans="16:18">
      <c r="P138" s="283"/>
      <c r="Q138" s="283"/>
      <c r="R138" s="1"/>
    </row>
    <row r="139" spans="16:18">
      <c r="P139" s="283"/>
      <c r="Q139" s="36"/>
      <c r="R139" s="1"/>
    </row>
    <row r="140" spans="16:18">
      <c r="P140" s="283"/>
      <c r="Q140" s="283"/>
      <c r="R140" s="1"/>
    </row>
    <row r="141" spans="16:18">
      <c r="P141" s="283"/>
      <c r="Q141" s="36"/>
      <c r="R141" s="1"/>
    </row>
    <row r="142" spans="16:18">
      <c r="P142" s="283"/>
      <c r="Q142" s="283"/>
      <c r="R142" s="1"/>
    </row>
    <row r="143" spans="16:18">
      <c r="P143" s="283"/>
      <c r="Q143" s="36"/>
      <c r="R143" s="1"/>
    </row>
    <row r="144" spans="16:18">
      <c r="P144" s="283"/>
      <c r="Q144" s="283"/>
      <c r="R144" s="1"/>
    </row>
    <row r="145" spans="16:18">
      <c r="P145" s="283"/>
      <c r="Q145" s="36"/>
      <c r="R145" s="1"/>
    </row>
    <row r="146" spans="16:18">
      <c r="P146" s="283"/>
      <c r="Q146" s="283"/>
      <c r="R146" s="1"/>
    </row>
    <row r="147" spans="16:18">
      <c r="P147" s="283"/>
      <c r="Q147" s="36"/>
      <c r="R147" s="1"/>
    </row>
    <row r="148" spans="16:18">
      <c r="P148" s="282"/>
      <c r="Q148" s="283"/>
      <c r="R148" s="1"/>
    </row>
    <row r="149" spans="16:18">
      <c r="P149" s="283"/>
      <c r="Q149" s="283"/>
      <c r="R149" s="1"/>
    </row>
    <row r="150" spans="16:18">
      <c r="P150" s="283"/>
      <c r="Q150" s="36"/>
      <c r="R150" s="1"/>
    </row>
    <row r="151" spans="16:18">
      <c r="P151" s="283"/>
      <c r="Q151" s="283"/>
      <c r="R151" s="1"/>
    </row>
    <row r="152" spans="16:18">
      <c r="P152" s="283"/>
      <c r="Q152" s="36"/>
      <c r="R152" s="1"/>
    </row>
    <row r="153" spans="16:18">
      <c r="P153" s="1"/>
      <c r="Q153" s="1"/>
      <c r="R153" s="1"/>
    </row>
    <row r="154" spans="16:18">
      <c r="P154" s="1"/>
      <c r="Q154" s="1"/>
      <c r="R154" s="1"/>
    </row>
    <row r="155" spans="16:18">
      <c r="P155" s="1"/>
      <c r="Q155" s="1"/>
      <c r="R155" s="1"/>
    </row>
    <row r="156" spans="16:18">
      <c r="P156" s="1"/>
      <c r="Q156" s="1"/>
      <c r="R156" s="1"/>
    </row>
    <row r="157" spans="16:18">
      <c r="P157" s="1"/>
      <c r="Q157" s="1"/>
      <c r="R157" s="1"/>
    </row>
    <row r="158" spans="16:18">
      <c r="P158" s="1"/>
      <c r="Q158" s="1"/>
      <c r="R158" s="1"/>
    </row>
    <row r="159" spans="16:18">
      <c r="P159" s="1"/>
      <c r="Q159" s="1"/>
      <c r="R159" s="1"/>
    </row>
    <row r="160" spans="16:18">
      <c r="P160" s="1"/>
      <c r="Q160" s="1"/>
      <c r="R160" s="1"/>
    </row>
    <row r="161" spans="16:18">
      <c r="P161" s="1"/>
      <c r="Q161" s="1"/>
      <c r="R161" s="1"/>
    </row>
    <row r="162" spans="16:18">
      <c r="P162" s="1"/>
      <c r="Q162" s="1"/>
      <c r="R162" s="1"/>
    </row>
    <row r="163" spans="16:18">
      <c r="P163" s="1"/>
      <c r="Q163" s="1"/>
      <c r="R163" s="1"/>
    </row>
    <row r="164" spans="16:18">
      <c r="P164" s="1"/>
      <c r="Q164" s="1"/>
      <c r="R164" s="1"/>
    </row>
    <row r="165" spans="16:18">
      <c r="P165" s="1"/>
      <c r="Q165" s="1"/>
      <c r="R165" s="1"/>
    </row>
    <row r="166" spans="16:18">
      <c r="P166" s="1"/>
      <c r="Q166" s="1"/>
      <c r="R166" s="1"/>
    </row>
    <row r="167" spans="16:18">
      <c r="P167" s="1"/>
      <c r="Q167" s="1"/>
      <c r="R167" s="1"/>
    </row>
    <row r="168" spans="16:18">
      <c r="P168" s="1"/>
      <c r="Q168" s="1"/>
      <c r="R168" s="1"/>
    </row>
    <row r="169" spans="16:18">
      <c r="P169" s="1"/>
      <c r="Q169" s="1"/>
      <c r="R169" s="1"/>
    </row>
    <row r="170" spans="16:18">
      <c r="P170" s="1"/>
      <c r="Q170" s="1"/>
      <c r="R170" s="1"/>
    </row>
    <row r="171" spans="16:18">
      <c r="P171" s="1"/>
      <c r="Q171" s="1"/>
      <c r="R171" s="1"/>
    </row>
    <row r="172" spans="16:18">
      <c r="P172" s="1"/>
      <c r="Q172" s="1"/>
      <c r="R172" s="1"/>
    </row>
    <row r="173" spans="16:18">
      <c r="P173" s="1"/>
      <c r="Q173" s="1"/>
      <c r="R173" s="1"/>
    </row>
    <row r="174" spans="16:18">
      <c r="P174" s="1"/>
      <c r="Q174" s="1"/>
      <c r="R174" s="1"/>
    </row>
    <row r="175" spans="16:18">
      <c r="P175" s="1"/>
      <c r="Q175" s="1"/>
      <c r="R175" s="1"/>
    </row>
    <row r="176" spans="16:18">
      <c r="P176" s="1"/>
      <c r="Q176" s="1"/>
      <c r="R176" s="1"/>
    </row>
    <row r="177" spans="16:18">
      <c r="P177" s="1"/>
      <c r="Q177" s="1"/>
      <c r="R177" s="1"/>
    </row>
    <row r="178" spans="16:18">
      <c r="P178" s="1"/>
      <c r="Q178" s="1"/>
      <c r="R178" s="1"/>
    </row>
    <row r="179" spans="16:18">
      <c r="P179" s="1"/>
      <c r="Q179" s="1"/>
      <c r="R179" s="1"/>
    </row>
    <row r="180" spans="16:18">
      <c r="P180" s="1"/>
      <c r="Q180" s="1"/>
      <c r="R180" s="1"/>
    </row>
    <row r="181" spans="16:18">
      <c r="P181" s="1"/>
      <c r="Q181" s="1"/>
      <c r="R181" s="1"/>
    </row>
    <row r="182" spans="16:18">
      <c r="P182" s="1"/>
      <c r="Q182" s="1"/>
      <c r="R182" s="1"/>
    </row>
    <row r="183" spans="16:18">
      <c r="P183" s="1"/>
      <c r="Q183" s="1"/>
      <c r="R183" s="1"/>
    </row>
    <row r="184" spans="16:18">
      <c r="P184" s="1"/>
      <c r="Q184" s="1"/>
      <c r="R184" s="1"/>
    </row>
    <row r="185" spans="16:18">
      <c r="P185" s="1"/>
      <c r="Q185" s="1"/>
      <c r="R185" s="1"/>
    </row>
    <row r="186" spans="16:18">
      <c r="P186" s="1"/>
      <c r="Q186" s="1"/>
      <c r="R186" s="1"/>
    </row>
    <row r="187" spans="16:18">
      <c r="P187" s="1"/>
      <c r="Q187" s="1"/>
      <c r="R187" s="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10</vt:i4>
      </vt:variant>
      <vt:variant>
        <vt:lpstr>Intervalos com nome</vt:lpstr>
      </vt:variant>
      <vt:variant>
        <vt:i4>2</vt:i4>
      </vt:variant>
    </vt:vector>
  </HeadingPairs>
  <TitlesOfParts>
    <vt:vector size="12" baseType="lpstr">
      <vt:lpstr>PLAN. ORÇAM.</vt:lpstr>
      <vt:lpstr>CRONOGRAMA</vt:lpstr>
      <vt:lpstr>Plan1</vt:lpstr>
      <vt:lpstr>COMP 1_ESTRUTURA E TELHADO</vt:lpstr>
      <vt:lpstr>COMP2_DIVISORIAAS</vt:lpstr>
      <vt:lpstr>BANCADAS</vt:lpstr>
      <vt:lpstr>COMP 3 quadro giz_divisoria</vt:lpstr>
      <vt:lpstr>COMP4_PASSARELA</vt:lpstr>
      <vt:lpstr>ELETRICA_LOG_TEL</vt:lpstr>
      <vt:lpstr>REVISÕES </vt:lpstr>
      <vt:lpstr>CRONOGRAMA!Área_de_Impressão</vt:lpstr>
      <vt:lpstr>'PLAN. ORÇAM.'!Área_de_Impressão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EDUARDO RODRIGUES ANDRADE</cp:lastModifiedBy>
  <cp:lastPrinted>2017-11-16T13:37:20Z</cp:lastPrinted>
  <dcterms:created xsi:type="dcterms:W3CDTF">2009-01-30T20:18:57Z</dcterms:created>
  <dcterms:modified xsi:type="dcterms:W3CDTF">2017-11-16T17:02:16Z</dcterms:modified>
</cp:coreProperties>
</file>