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table+xml" PartName="/xl/tables/table1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RÇAMENTO GLOBAL" sheetId="1" r:id="rId4"/>
    <sheet state="visible" name="COMPOSIÇÕES" sheetId="2" r:id="rId5"/>
    <sheet state="visible" name="COTAÇÕES" sheetId="3" r:id="rId6"/>
    <sheet state="visible" name="CRONOGRAMA" sheetId="4" r:id="rId7"/>
    <sheet state="visible" name="BDI" sheetId="5" r:id="rId8"/>
  </sheets>
  <definedNames/>
  <calcPr/>
  <extLst>
    <ext uri="GoogleSheetsCustomDataVersion1">
      <go:sheetsCustomData xmlns:go="http://customooxmlschemas.google.com/" r:id="rId9" roundtripDataSignature="AMtx7mhfwlL+PO+h4vkmMyconojOKXciNQ=="/>
    </ext>
  </extLst>
</workbook>
</file>

<file path=xl/sharedStrings.xml><?xml version="1.0" encoding="utf-8"?>
<sst xmlns="http://schemas.openxmlformats.org/spreadsheetml/2006/main" count="2059" uniqueCount="936">
  <si>
    <t>UNIVERSIDADE ESTADUAL DO NORTE DO PARANÁ</t>
  </si>
  <si>
    <t>CNPJ: 08.885.100/0001-54</t>
  </si>
  <si>
    <t>BDI</t>
  </si>
  <si>
    <t>OBRA : INSTALAÇÕES DE PREVENÇÃO CONTRA INCÊNDIO E PÂNICO DO CLM</t>
  </si>
  <si>
    <t>BDI dif.</t>
  </si>
  <si>
    <t>Local: CAMPUS LUIZ MENEGHEL</t>
  </si>
  <si>
    <t>Data do orçamento: AGOSTO DE 2022</t>
  </si>
  <si>
    <t>Total c/BDI</t>
  </si>
  <si>
    <t>REFERÊNCIA DE PREÇOS : SINAPI_ref_Insumos_Composicoes_PR_052022_Desonerado // ORSE ABRIL 2022 // SICRO 2022</t>
  </si>
  <si>
    <t xml:space="preserve">                                                                                                                  </t>
  </si>
  <si>
    <t xml:space="preserve">RESP PROJETO: ENG.CIVIL LINCOLN MAKOTO NOZAKI CREA PR 9555/D
</t>
  </si>
  <si>
    <t>ITEM</t>
  </si>
  <si>
    <t>RESUMO</t>
  </si>
  <si>
    <t>CÓDIGO</t>
  </si>
  <si>
    <t>DESCRIÇÃO DOS SERVIÇOS</t>
  </si>
  <si>
    <t>UN</t>
  </si>
  <si>
    <t>QTD</t>
  </si>
  <si>
    <t>UNITÁRIO (SEM BDI)</t>
  </si>
  <si>
    <t>TOTAL (Valores sem BDI)</t>
  </si>
  <si>
    <t>VALOR TOTAL C/ BDI</t>
  </si>
  <si>
    <t>MATERIAL + EQ</t>
  </si>
  <si>
    <t>MÃO DE OBRA</t>
  </si>
  <si>
    <t>TOTAL</t>
  </si>
  <si>
    <t>MATERIAL</t>
  </si>
  <si>
    <t>1</t>
  </si>
  <si>
    <t>SERVIÇOS GERAIS</t>
  </si>
  <si>
    <t>1.1</t>
  </si>
  <si>
    <t>GERAL - ALMOXARIFADO</t>
  </si>
  <si>
    <t>10776 INS.</t>
  </si>
  <si>
    <t>LOCACAO DE CONTAINER 2,30  X  6,00 M, ALT. 2,50 M, PARA ESCRITORIO, SEM DIVISORIAS INTERNAS E SEM SANITARIO</t>
  </si>
  <si>
    <t>MES</t>
  </si>
  <si>
    <t>1.2</t>
  </si>
  <si>
    <t>ENGENHEIRO</t>
  </si>
  <si>
    <t>90778</t>
  </si>
  <si>
    <t>ENGENHEIRO CIVIL DE OBRA PLENO COM ENCARGOS COMPLEMENTARES</t>
  </si>
  <si>
    <t>H</t>
  </si>
  <si>
    <t>2</t>
  </si>
  <si>
    <t>RESERVATÓRIO</t>
  </si>
  <si>
    <t>FUNDAÇÃO DO RESERVATÓRIO</t>
  </si>
  <si>
    <t>2.1</t>
  </si>
  <si>
    <t>RES BASE 3x3x1</t>
  </si>
  <si>
    <t>101273</t>
  </si>
  <si>
    <t xml:space="preserve">ESCAVAÇÃO VERTICAL A CÉU ABERTO, EM OBRAS DE INFRAESTRUTURA, INCLUINDO CARGA, DESCARGA E TRANSPORTE, EM SOLO DE 1ª CATEGORIA COM ESCAVADEIRA </t>
  </si>
  <si>
    <t>M3</t>
  </si>
  <si>
    <t>2.2</t>
  </si>
  <si>
    <t>RES BASE - ARMAÇÃO ESTACA</t>
  </si>
  <si>
    <t>ARMAÇÃO DE PILAR OU VIGA DE UMA ESTRUTURA CONVENCIONAL DE CONCRETO ARMADO EM UMA EDIFICAÇÃO TÉRREA OU SOBRADO UTILIZANDO AÇO CA-50 DE 12,5 MM - MONTAGEM. AF_12/2015</t>
  </si>
  <si>
    <t>KG</t>
  </si>
  <si>
    <t>2.3</t>
  </si>
  <si>
    <t>RES BASE - ESTACA BROCA</t>
  </si>
  <si>
    <t>ESTACA ESCAVADA MECANICAMENTE, SEM FLUIDO ESTABILIZANTE, COM 25CM DE DIÂMETRO, CONCRETO LANÇADO POR CAMINHÃO BETONEIRA (EXCLUSIVE MOBILIZAÇÃO E DESMOBILIZAÇÃO). AF_01/2020</t>
  </si>
  <si>
    <t>M</t>
  </si>
  <si>
    <t>2.4</t>
  </si>
  <si>
    <t>RES BASE - LASTRO 5 CM</t>
  </si>
  <si>
    <t>LASTRO COM MATERIAL GRANULAR, APLICADO EM PISOS OU LAJES SOBRE SOLO, ESPESSURA DE *5 CM*. AF_08/2017</t>
  </si>
  <si>
    <t>2.5</t>
  </si>
  <si>
    <t>RES BASE - FORMA</t>
  </si>
  <si>
    <t>FABRICAÇÃO, MONTAGEM E DESMONTAGEM DE FÔRMA PARA VIGA BALDRAME, EM MADEIRA SERRADA, E=25 MM, 4 UTILIZAÇÕES. AF_06/2017</t>
  </si>
  <si>
    <t>M2</t>
  </si>
  <si>
    <t>2.6</t>
  </si>
  <si>
    <t xml:space="preserve">RES BASE - ARMAÇÃO </t>
  </si>
  <si>
    <t>ARMAÇÃO DE PILAR OU VIGA DE UMA ESTRUTURA CONVENCIONAL DE CONCRETO ARMADO EM UMA EDIFICAÇÃO TÉRREA OU SOBRADO UTILIZANDO AÇO CA-50 - MONTAGEM. AF_12/2015</t>
  </si>
  <si>
    <t>2.7</t>
  </si>
  <si>
    <t>RES BASE - CONCRETO</t>
  </si>
  <si>
    <t>CONCRETO FCK = 20MPA, TRAÇO 1:2,7:3 (EM MASSA SECA DE CIMENTO/ AREIA MÉDIA/ BRITA 1) - PREPARO MECÂNICO COM BETONEIRA 400 L. AF_05/2021</t>
  </si>
  <si>
    <t>RESERVATÓRIO METÁLICO</t>
  </si>
  <si>
    <t>2.8</t>
  </si>
  <si>
    <t>COTAÇÃO 3</t>
  </si>
  <si>
    <t>RESERVATÓRIO METÁLICO CILÍNDRICO DE 30.000 LITROS</t>
  </si>
  <si>
    <t>2.9</t>
  </si>
  <si>
    <t>RES  PARA_RAIO</t>
  </si>
  <si>
    <t>COMP. 01</t>
  </si>
  <si>
    <t>SISTEMA DE PROTEÇÃO E ATERRAMENTO DE RESERVATÓRIO METÁLICO. INCLUSIVE PARA RAIO, CORDOALHAS, ELETRODUTOS E ATERRAMENTO COM HASTE DE COBRE</t>
  </si>
  <si>
    <t>2.10</t>
  </si>
  <si>
    <t>TUB. RES - ALIMENTAÇÃO, CONSUMO, EXTRAVASOR E LIMPEZA</t>
  </si>
  <si>
    <t>TUBULAÇÃO: ALIMENTAÇÃO -  TUBO, PVC, SOLDÁVEL, DN 50 MM, INSTALADO EM RESERVAÇÃO DE ÁGUA DE EDIFICAÇÃO QUE POSSUA RESERVATÓRIO DE FIBRA/FIBROCIMENTO FORNECIMENTO E  INSTALAÇÃO. AF_06/2016 M CR 23,36</t>
  </si>
  <si>
    <t>2.11</t>
  </si>
  <si>
    <t>R.G. RES - ALIMENTAÇÃO, CONSUMO E LIMPEZA</t>
  </si>
  <si>
    <t>REGISTRO DE GAVETA BRUTO, LATÃO, ROSCÁVEL, 2 1/2, INSTALADO EM RESERVAÇÃO DE ÁGUA DE EDIFICAÇÃO QUE POSSUA RESERVATÓRIO FORNECIMENTO E INSTALAÇÃO. AF_06/2016  217,93</t>
  </si>
  <si>
    <t>2.12</t>
  </si>
  <si>
    <t>RES TUB</t>
  </si>
  <si>
    <t>JOELHO 90 GRAUS, PVC, SOLDÁVEL, DN 50MM, INSTALADO EM PRUMADA DE ÁGUA - FORNECIMENTO E INSTALAÇÃO. AF_12/2014</t>
  </si>
  <si>
    <t>2.13</t>
  </si>
  <si>
    <t>ADAPTADOR CURTO COM BOLSA E ROSCA PARA REGISTRO, PVC, SOLDÁVEL, DN 50MM X 1.1/4_x0094_, INSTALADO EM PRUMADA DE ÁGUA - FORNECIMENTO E INSTALAÇÃO. AF_12/2014</t>
  </si>
  <si>
    <t>2.14</t>
  </si>
  <si>
    <t>RES BOMBA</t>
  </si>
  <si>
    <t>ESCAVAÇÃO MANUAL DE VALA COM PROFUNDIDADE MENOR OU IGUAL A 1,30 M. AF_02/2021</t>
  </si>
  <si>
    <t>2.15</t>
  </si>
  <si>
    <t>ELETRODUTO RÍGIDO ROSCÁVEL, PVC, DN 25 MM (3/4"), PARA CIRCUITOS TERMINAIS, INSTALADO EM PAREDE - FORNECIMENTO E INSTALAÇÃO. AF_12/2015</t>
  </si>
  <si>
    <t>2.16</t>
  </si>
  <si>
    <t>RES BOIA</t>
  </si>
  <si>
    <t>CHAVE DE BOIA AUTOMÁTICA SUPERIOR/INFERIOR 15A/250V - FORNECIMENTO E INSTALAÇÃO. AF_12/2020</t>
  </si>
  <si>
    <t>2.17</t>
  </si>
  <si>
    <t>ABRIGO (150x100x150) PARA BOMBA EM ALVENARIA DE TIJOLO - CONCRETO</t>
  </si>
  <si>
    <t>94964</t>
  </si>
  <si>
    <t>2.18</t>
  </si>
  <si>
    <t>ABRIGO (150x100x150) PARA BOMBA EM ALVENARIA DE TIJOLOS - FERRAGEM</t>
  </si>
  <si>
    <t>92776</t>
  </si>
  <si>
    <t>ARMAÇÃO DE PILAR OU VIGA DE UMA ESTRUTURA CONVENCIONAL DE CONCRETO ARMADO EM UMA EDIFICAÇÃO TÉRREA OU SOBRADO UTILIZANDO AÇO CA-50 DE 6,3 MM - MONTAGEM. AF_12/2015</t>
  </si>
  <si>
    <t>2.19</t>
  </si>
  <si>
    <t>ABRIGO (150x100x150) PARA BOMBA EM ALVENARIA DE TIJOLOS - ALVENARIA</t>
  </si>
  <si>
    <t>103332</t>
  </si>
  <si>
    <t>ALVENARIA DE VEDAÇÃO DE BLOCOS CERÂMICOS FURADOS NA HORIZONTAL DE 9X14X19 CM (ESPESSURA 9 CM) E ARGAMASSA DE ASSENTAMENTO COM PREPARO EM BETONEIRA. AF_12/2021</t>
  </si>
  <si>
    <t>2.20</t>
  </si>
  <si>
    <t>ABRIGO (150x100x150) PARA BOMBA EM ALVENARIA DE TIJOLOS - FORMAS</t>
  </si>
  <si>
    <t>96534</t>
  </si>
  <si>
    <t>FABRICAÇÃO, MONTAGEM E DESMONTAGEM DE FÔRMA PARA BLOCO DE COROAMENTO, EM MADEIRA SERRADA, E=25 MM, 4 UTILIZAÇÕES. AF_06/2017</t>
  </si>
  <si>
    <t>2.21</t>
  </si>
  <si>
    <t>ABRIGO (150x100x150) PARA BOMBA EM ALVENARIA DE TIJOLOS - TERRA</t>
  </si>
  <si>
    <t>94319</t>
  </si>
  <si>
    <t>ATERRO MANUAL DE VALAS COM SOLO ARGILO-ARENOSO E COMPACTAÇÃO MECANIZADA. AF_05/2016</t>
  </si>
  <si>
    <t>2.22</t>
  </si>
  <si>
    <t>BOMBA CENTRÍFUGA, TRIFÁSICA, 1,5 CV OU 1,48 HP, HM 10 A 70 M, Q 1,8 A 5,3 M3/H - FORNECIMENTO E INSTALAÇÃO. AF_12/2020</t>
  </si>
  <si>
    <t>2.23</t>
  </si>
  <si>
    <t>101877</t>
  </si>
  <si>
    <t>QUADRO DE DISTRIBUIÇÃO DE ENERGIA EM PVC, DE EMBUTIR, SEM BARRAMENTO, PARA 3 DISJUNTORES - FORNECIMENTO E INSTALAÇÃO. AF_10/2020</t>
  </si>
  <si>
    <t>2.24</t>
  </si>
  <si>
    <t>93665</t>
  </si>
  <si>
    <t>DISJUNTOR BIPOLAR TIPO DIN, CORRENTE NOMINAL DE 40A - FORNECIMENTO E INSTALAÇÃO. AF_10/2020</t>
  </si>
  <si>
    <t>2.25</t>
  </si>
  <si>
    <t>91926</t>
  </si>
  <si>
    <t>CABO DE COBRE FLEXÍVEL ISOLADO, 2,5 MM², ANTI-CHAMA 450/750 V, PARA CIRCUITOS TERMINAIS - FORNECIMENTO E INSTALAÇÃO. AF_12/2015</t>
  </si>
  <si>
    <t>2.26</t>
  </si>
  <si>
    <t>RES - INC</t>
  </si>
  <si>
    <t>TUBO DE AÇO GALVANIZADO COM COSTURA, CLASSE MÉDIA, DN 65 (2 1/2"), CONEXÃO ROSQUEADA, INSTALADO EM REDE DE ALIMENTAÇÃO PARA HIDRANTE - FORNECIMENTO E INSTALAÇÃO. AF_10/2020</t>
  </si>
  <si>
    <t>2.27</t>
  </si>
  <si>
    <t>REGISTRO DE GAVETA BRUTO, LATÃO, ROSCÁVEL, 2 1/2" - FORNECIMENTO E INSTALAÇÃO. AF_08/2021</t>
  </si>
  <si>
    <t>2.28</t>
  </si>
  <si>
    <t>NIPLE, EM FERRO GALVANIZADO, DN 65 (2 1/2"), CONEXÃO ROSQUEADA, INSTALADO EM REDE DE ALIMENTAÇÃO PARA HIDRANTE - FORNECIMENTO E INSTALAÇÃO. AF_10/2020</t>
  </si>
  <si>
    <t>2.29</t>
  </si>
  <si>
    <t>JOELHO 90 GRAUS, EM FERRO GALVANIZADO, DN 65 (2 1/2"), CONEXÃO ROSQUEADA, INSTALADO EM REDE DE ALIMENTAÇÃO PARA HIDRANTE - FORNECIMENTO E INSTALAÇÃO. AF_10/2020</t>
  </si>
  <si>
    <t>2.30</t>
  </si>
  <si>
    <t>LUVA, EM FERRO GALVANIZADO, DN 65 (2 1/2"), CONEXÃO ROSQUEADA, INSTALADO EM REDE DE ALIMENTAÇÃO PARA HIDRANTE - FORNECIMENTO E INSTALAÇÃO. AF_10/2020</t>
  </si>
  <si>
    <t>2.31</t>
  </si>
  <si>
    <t>VÁLVULA DE RETENÇÃO VERTICAL, DE BRONZE, ROSCÁVEL, 3" - FORNECIMENTO E INSTALAÇÃO. AF_08/2021</t>
  </si>
  <si>
    <t>3</t>
  </si>
  <si>
    <t>EXECUÇÃO DE REDE DE HIDRANTES E INSTALAÇÃO DE BOMBAS</t>
  </si>
  <si>
    <t>3.1</t>
  </si>
  <si>
    <t>TUBULAÇÃO DE INCÊNDIO - RES. ATÉ BOMBA (SUCÇÃO)</t>
  </si>
  <si>
    <r>
      <rPr>
        <rFont val="Calibri"/>
        <color rgb="FF000000"/>
        <sz val="10.0"/>
      </rPr>
      <t>NOTA: TRECHO: do reserv.  às  bombas</t>
    </r>
    <r>
      <rPr>
        <rFont val="Calibri"/>
        <i/>
        <color rgb="FF000000"/>
        <sz val="10.0"/>
      </rPr>
      <t xml:space="preserve"> H1_B1 </t>
    </r>
    <r>
      <rPr>
        <rFont val="Calibri"/>
        <color rgb="FF000000"/>
        <sz val="10.0"/>
      </rPr>
      <t xml:space="preserve">e </t>
    </r>
    <r>
      <rPr>
        <rFont val="Calibri"/>
        <i/>
        <color rgb="FF000000"/>
        <sz val="10.0"/>
      </rPr>
      <t>H2_B2( 290 m)  (enterradas no mínimo 0,50 m)</t>
    </r>
  </si>
  <si>
    <t>3.1.1</t>
  </si>
  <si>
    <t>ESCAVAÇÃO</t>
  </si>
  <si>
    <t>ESCAVAÇÃO MECANIZADA DE VALA COM PROF. ATÉ 1,5 M (MÉDIA MONTANTE E JUSANTE/UMA COMPOSIÇÃO POR TRECHO), ESCAVADEIRA (0,8 M3), LARG. DE 1,5 M A 2,5 M, EM SOLO DE 1A CATEGORIA, LOCAIS COM BAIXO NÍVEL DE INTERFERÊNCIA. AF_02/2021</t>
  </si>
  <si>
    <t>3.1.2</t>
  </si>
  <si>
    <t>REATERRO</t>
  </si>
  <si>
    <t>REATERRO MECANIZADO DE VALA COM RETROESCAVADEIRA (CAPACIDADE DA CAÇAMBA DA RETRO: 0,26 M³ / POTÊNCIA: 88 HP), LARGURA ATÉ 0,8 M, PROFUNDIDADE DE 1,5 A 3,0 M, COM SOLO DE 1ª CATEGORIA EM LOCAIS COM ALTO NÍVEL DE INTERFERÊNCIA. AF_04/2016</t>
  </si>
  <si>
    <t>3.1.3</t>
  </si>
  <si>
    <t>TUBULAÇÃO (RES -&gt; BOMBAS)</t>
  </si>
  <si>
    <t>3.1.4</t>
  </si>
  <si>
    <t>TÊ, EM FERRO GALVANIZADO, DN 65 (2 1/2"), CONEXÃO ROSQUEADA, INSTALADO EM PRUMADAS - FORNECIMENTO E INSTALAÇÃO. AF_10/2020</t>
  </si>
  <si>
    <t>3.1.5</t>
  </si>
  <si>
    <t>JOELHO 90 GRAUS, EM FERRO GALVANIZADO, DN 65 (2 1/2"), CONEXÃO ROSQUEADA, INSTALADO EM PRUMADAS - FORNECIMENTO E INSTALAÇÃO. AF_10/2020</t>
  </si>
  <si>
    <t>3.1.6</t>
  </si>
  <si>
    <t>JOELHO 45 GRAUS, EM FERRO GALVANIZADO, DN 65 (2 1/2"), CONEXÃO ROSQUEADA, INSTALADO EM PRUMADAS - FORNECIMENTO E INSTALAÇÃO. AF_10/2020</t>
  </si>
  <si>
    <t>3.1.7</t>
  </si>
  <si>
    <t>LUVA, EM FERRO GALVANIZADO, DN 65 (2 1/2"), CONEXÃO ROSQUEADA, INSTALADO EM PRUMADAS - FORNECIMENTO E INSTALAÇÃO. AF_10/2020</t>
  </si>
  <si>
    <t>3.1.8</t>
  </si>
  <si>
    <t>NIPLE</t>
  </si>
  <si>
    <t>3.2</t>
  </si>
  <si>
    <t>BOMBA H1/B1</t>
  </si>
  <si>
    <t>3.2.1</t>
  </si>
  <si>
    <t>3.2.2</t>
  </si>
  <si>
    <t>3.2.3</t>
  </si>
  <si>
    <t>3.2.4</t>
  </si>
  <si>
    <t>3.2.5</t>
  </si>
  <si>
    <t>3.2.6</t>
  </si>
  <si>
    <t>INST.ELÉTRICA BOMBA</t>
  </si>
  <si>
    <t>3.2.7</t>
  </si>
  <si>
    <t>BOMBA CENTRIFUGA B1</t>
  </si>
  <si>
    <t>08219/ORSE</t>
  </si>
  <si>
    <t>Conjunto moto-bomba Schneider motor 10CV, trifásico (ou similar)</t>
  </si>
  <si>
    <t>3.2.8</t>
  </si>
  <si>
    <t>ALIMENTAÇÃO ELÉTRICA BOMBA</t>
  </si>
  <si>
    <t>3.2.9</t>
  </si>
  <si>
    <t>ELETRODUTO FLEXÍVEL CORRUGADO REFORÇADO, PVC, DN 32 MM (1"), PARA CIRCUITOS TERMINAIS, INSTALADO EM FORRO - FORNECIMENTO E INSTALAÇÃO. AF_12/2015</t>
  </si>
  <si>
    <t>3.2.10</t>
  </si>
  <si>
    <t>3.2.11</t>
  </si>
  <si>
    <t>3.2.12</t>
  </si>
  <si>
    <t>TUBULAÇÃO</t>
  </si>
  <si>
    <t>3.2.13</t>
  </si>
  <si>
    <t>JOELHO</t>
  </si>
  <si>
    <t>3.2.14</t>
  </si>
  <si>
    <t>R.G</t>
  </si>
  <si>
    <t>3.2.15</t>
  </si>
  <si>
    <t>V.R.V</t>
  </si>
  <si>
    <t>3.2.16</t>
  </si>
  <si>
    <t>3.2.17</t>
  </si>
  <si>
    <t>QUADRO DE DISTRIBUIÇÃO</t>
  </si>
  <si>
    <t>3.2.18</t>
  </si>
  <si>
    <t>MONTAGEM ELÉTRICA BOMBA</t>
  </si>
  <si>
    <t>INSTALAÇÃO DE QUADRO ELÉTRICO PARA BOMBAS TRIFÁSICAS ATÉ 25 CV (NÃO INCLUI O FORNECIMENTO DO QUADRO). AF_12/2020</t>
  </si>
  <si>
    <t>3.2.19</t>
  </si>
  <si>
    <t>DISJUNTOR</t>
  </si>
  <si>
    <t>3.2.20</t>
  </si>
  <si>
    <t>MANÔMETRO</t>
  </si>
  <si>
    <t>MANÔMETRO 0 A 200 PSI (0 A 14 KGF/CM2), D = 50MM - FORNECIMENTO E INSTALAÇÃO. AF_10/2020</t>
  </si>
  <si>
    <t>3.3</t>
  </si>
  <si>
    <t>HIDRANTE H1/01</t>
  </si>
  <si>
    <t>3.3.1</t>
  </si>
  <si>
    <t>3.3.2</t>
  </si>
  <si>
    <t>TÊ</t>
  </si>
  <si>
    <t>3.3.3</t>
  </si>
  <si>
    <t>ABRIGO</t>
  </si>
  <si>
    <t>96765 ADAPTADO</t>
  </si>
  <si>
    <t>ABRIGO PARA HIDRANTE, 90X60X17CM, COM REGISTRO GLOBO ANGULAR 45 GRAUS 2 1/2", ADAPTADOR STORZ 2 1/2", SEM MANGUEIRA, REDUÇÃO 2 1/2" X 1 1/2" E ESGUICHO EM LATÃO 1 1/2" - FORNECIMENTO E INSTALAÇÃO. AF_10/2020</t>
  </si>
  <si>
    <t>3.3.4</t>
  </si>
  <si>
    <t>MANGUEIRA</t>
  </si>
  <si>
    <t>21034 INS</t>
  </si>
  <si>
    <t>MANGUEIRA DE INCENDIO, TIPO 2, DE 2 1/2", COMPRIMENTO = 15 M, TECIDO EM FIO DE POLIESTER E TUBO INTERNO EM BORRACHA SINTETICA, COM UNIOES ENGATE RAPIDO</t>
  </si>
  <si>
    <t>3.3.5</t>
  </si>
  <si>
    <t>LUVA</t>
  </si>
  <si>
    <t>3.3.6</t>
  </si>
  <si>
    <t>3.3.7</t>
  </si>
  <si>
    <t>3.4</t>
  </si>
  <si>
    <t>HIDRANTE H1/02 E H1/03</t>
  </si>
  <si>
    <t>3.4.1</t>
  </si>
  <si>
    <t>3.4.2</t>
  </si>
  <si>
    <t>3.4.3</t>
  </si>
  <si>
    <t>3.4.4</t>
  </si>
  <si>
    <t>3.4.5</t>
  </si>
  <si>
    <t>3.4.6</t>
  </si>
  <si>
    <t>3.4.7</t>
  </si>
  <si>
    <t>3.5</t>
  </si>
  <si>
    <t>HIDRANTE H1/04 E H1/05</t>
  </si>
  <si>
    <t>3.5.1</t>
  </si>
  <si>
    <t>3.5.2</t>
  </si>
  <si>
    <t>3.5.3</t>
  </si>
  <si>
    <t>3.5.4</t>
  </si>
  <si>
    <t>3.5.5</t>
  </si>
  <si>
    <t>3.5.6</t>
  </si>
  <si>
    <t>3.5.7</t>
  </si>
  <si>
    <t>3.6</t>
  </si>
  <si>
    <t>HIDRANTES-  H1/06 e H1/07</t>
  </si>
  <si>
    <t>3.6.1</t>
  </si>
  <si>
    <t>3.6.2</t>
  </si>
  <si>
    <t>3.6.3</t>
  </si>
  <si>
    <t>3.6.4</t>
  </si>
  <si>
    <t>3.6.5</t>
  </si>
  <si>
    <t>3.6.6</t>
  </si>
  <si>
    <t>3.6.7</t>
  </si>
  <si>
    <t>3.7</t>
  </si>
  <si>
    <t>HIDRANTES-  H1/08;H1/09 e H1/10;H1/11</t>
  </si>
  <si>
    <t>3.7.1</t>
  </si>
  <si>
    <t>3.7.2</t>
  </si>
  <si>
    <t>3.7.3</t>
  </si>
  <si>
    <t>3.7.4</t>
  </si>
  <si>
    <t>3.7.5</t>
  </si>
  <si>
    <t>3.7.6</t>
  </si>
  <si>
    <t>3.7.7</t>
  </si>
  <si>
    <t>3.8</t>
  </si>
  <si>
    <t>HIDRANTES-  H1/12 e H1/R1</t>
  </si>
  <si>
    <t>3.8.1</t>
  </si>
  <si>
    <t>3.8.2</t>
  </si>
  <si>
    <t>3.8.3</t>
  </si>
  <si>
    <t>3.8.4</t>
  </si>
  <si>
    <t>3.8.5</t>
  </si>
  <si>
    <t>ABRIGO H. RECALQUE</t>
  </si>
  <si>
    <t>3.8.6</t>
  </si>
  <si>
    <t>3.8.7</t>
  </si>
  <si>
    <t>3.8.8</t>
  </si>
  <si>
    <t>3.9</t>
  </si>
  <si>
    <t>H1 - COMPLEMENTOS</t>
  </si>
  <si>
    <t>3.9.1</t>
  </si>
  <si>
    <t>ESCAVAÇÃO L=30cm; H=60cm</t>
  </si>
  <si>
    <t>ESCAVAÇÃO VERTICAL A CÉU ABERTO, EM OBRAS DE INFRAESTRUTURA, INCLUINDO CARGA, DESCARGA E TRANSPORTE, EM SOLO DE 1ª CATEGORIA COM ESCAVADEIRA HIDRÁULICA (CAÇAMBA: 1,2 M³ / 155HP), FROTA DE 6 CAMINHÕES BASCULANTES DE 10 M³, DMT DE 1,5 KM E VELOCIDADE MÉDIA18KM/H. AF_05/2020</t>
  </si>
  <si>
    <t>3.9.2</t>
  </si>
  <si>
    <t>REATERRO  L=30cm; H=60cm</t>
  </si>
  <si>
    <t>REATERRO MECANIZADO DE VALA COM ESCAVADEIRA HIDRÁULICA (CAPACIDADE DA CAÇAMBA: 0,8 M³ / POTÊNCIA: 111 HP), LARGURA DE 1,5 A 2,5 M, PROFUNDIDADE DE 3,0 A 4,5 M, COM SOLO (SEM SUBSTITUIÇÃO) DE 1ª CATEGORIA EM LOCAIS COM ALTO NÍVEL DE INTERFERÊNCIA. AF_04/2016</t>
  </si>
  <si>
    <t>3.9.3</t>
  </si>
  <si>
    <t>FURO PARA TUBULAÇÕES</t>
  </si>
  <si>
    <t>COMP. 02</t>
  </si>
  <si>
    <t>PERFURAÇÃO, FECHAMENTO E REPINTURA NAS PASSAGENS DE TUBULAÇÃO</t>
  </si>
  <si>
    <t>3.9.4</t>
  </si>
  <si>
    <t>MÃO FRANCESA CADA 2 M</t>
  </si>
  <si>
    <t>100862</t>
  </si>
  <si>
    <t>SUPORTE MÃO FRANCESA EM ACO, ABAS IGUAIS 40 CM, CAPACIDADE MINIMA 70 KG, BRANCO - FORNECIMENTO E INSTALAÇÃO. AF_01/2020</t>
  </si>
  <si>
    <t>3.9.5</t>
  </si>
  <si>
    <t>BOTOEIRA BOMBA</t>
  </si>
  <si>
    <t>07861/ORSE</t>
  </si>
  <si>
    <t>ACIONADOR MANUAL (BOTOEIRA) TIPO QUEBRA-VIDRO, P/INSTAL. INCÊNDIO</t>
  </si>
  <si>
    <t>3.9.6</t>
  </si>
  <si>
    <t>QUADRO DISTRIBUIÇÃO</t>
  </si>
  <si>
    <t xml:space="preserve"> un.</t>
  </si>
  <si>
    <t>3.9.7</t>
  </si>
  <si>
    <t>3.9.8</t>
  </si>
  <si>
    <t>ELETRODUTO</t>
  </si>
  <si>
    <t>ELETRODUTO RÍGIDO ROSCÁVEL, PVC, DN 25 MM (3/4"), PARA CIRCUITOS TERMINAIS, INSTALADO EM FORRO - FORNECIMENTO E INSTALAÇÃO. AF_12/2015</t>
  </si>
  <si>
    <t>3.9.9</t>
  </si>
  <si>
    <t>CONDULETE</t>
  </si>
  <si>
    <t>CONDULETE DE ALUMÍNIO, TIPO B, PARA ELETRODUTO DE AÇO GALVANIZADO DN 20 MM (3/4''), APARENTE - FORNECIMENTO E INSTALAÇÃO. AF_11/2016_P</t>
  </si>
  <si>
    <t>3.9.10</t>
  </si>
  <si>
    <t>FIAÇÃO</t>
  </si>
  <si>
    <t>3.9.11</t>
  </si>
  <si>
    <t>CAIXA DE PASSAGEM</t>
  </si>
  <si>
    <t>CAIXA ENTERRADA ELÉTRICA RETANGULAR, EM CONCRETO PRÉ-MOLDADO, FUNDO COM BRITA, DIMENSÕES INTERNAS: 0,4X0,4X0,4 M. AF_12/2020</t>
  </si>
  <si>
    <t>3.9.12</t>
  </si>
  <si>
    <t xml:space="preserve">RECOMPOSIÇÃO ASFÁLTO - CORTES PASSAGEM DE TUBULAÇÃO </t>
  </si>
  <si>
    <t>95995</t>
  </si>
  <si>
    <t>EXECUÇÃO DE PAVIMENTO COM APLICAÇÃO DE CONCRETO ASFÁLTICO, CAMADA DE ROLAMENTO - EXCLUSIVE CARGA E TRANSPORTE. AF_11/2019</t>
  </si>
  <si>
    <t>3.10</t>
  </si>
  <si>
    <t>BOMBA H2/B2</t>
  </si>
  <si>
    <t>3.10.1</t>
  </si>
  <si>
    <t>3.10.2</t>
  </si>
  <si>
    <t>3.10.3</t>
  </si>
  <si>
    <t>3.10.4</t>
  </si>
  <si>
    <t>3.10.5</t>
  </si>
  <si>
    <t>3.10.6</t>
  </si>
  <si>
    <t>BOMBA CENTRIFUGA B2</t>
  </si>
  <si>
    <t>3.10.7</t>
  </si>
  <si>
    <t>3.10.8</t>
  </si>
  <si>
    <t>3.10.9</t>
  </si>
  <si>
    <t>3.10.10</t>
  </si>
  <si>
    <t>3.10.11</t>
  </si>
  <si>
    <t>CABO ALIEMNTAÇÃO DA BOMBA</t>
  </si>
  <si>
    <t>3.10.12</t>
  </si>
  <si>
    <t>3.10.13</t>
  </si>
  <si>
    <t>3.10.14</t>
  </si>
  <si>
    <t>3.10.15</t>
  </si>
  <si>
    <t>3.10.16</t>
  </si>
  <si>
    <t>3.10.17</t>
  </si>
  <si>
    <t>3.11</t>
  </si>
  <si>
    <t>HIDRANTE H2/01</t>
  </si>
  <si>
    <t>3.11.1</t>
  </si>
  <si>
    <t>3.11.2</t>
  </si>
  <si>
    <t>3.11.3</t>
  </si>
  <si>
    <t>3.11.4</t>
  </si>
  <si>
    <t>3.11.5</t>
  </si>
  <si>
    <t>3.11.6</t>
  </si>
  <si>
    <t>3.12</t>
  </si>
  <si>
    <t>HIDRANTE H2/02</t>
  </si>
  <si>
    <t>3.12.1</t>
  </si>
  <si>
    <t>3.12.2</t>
  </si>
  <si>
    <t>3.12.3</t>
  </si>
  <si>
    <t>3.12.4</t>
  </si>
  <si>
    <t>3.12.5</t>
  </si>
  <si>
    <t>3.12.6</t>
  </si>
  <si>
    <t>3.12.7</t>
  </si>
  <si>
    <t>3.13</t>
  </si>
  <si>
    <t>HIDRANTE H2/03</t>
  </si>
  <si>
    <t>3.13.1</t>
  </si>
  <si>
    <t>3.13.2</t>
  </si>
  <si>
    <t>3.13.3</t>
  </si>
  <si>
    <t>3.13.4</t>
  </si>
  <si>
    <t>3.13.5</t>
  </si>
  <si>
    <t>3.13.6</t>
  </si>
  <si>
    <t>3.13.7</t>
  </si>
  <si>
    <t>3.14</t>
  </si>
  <si>
    <t>HIDRANTE H2/04</t>
  </si>
  <si>
    <t>3.14.1</t>
  </si>
  <si>
    <t>3.14.2</t>
  </si>
  <si>
    <t>3.14.3</t>
  </si>
  <si>
    <t>3.14.4</t>
  </si>
  <si>
    <t>3.14.5</t>
  </si>
  <si>
    <t>3.14.6</t>
  </si>
  <si>
    <t>3.14.7</t>
  </si>
  <si>
    <t>3.15</t>
  </si>
  <si>
    <t>HIDRANTE H2/05</t>
  </si>
  <si>
    <t>3.15.1</t>
  </si>
  <si>
    <t>3.15.2</t>
  </si>
  <si>
    <t>3.15.3</t>
  </si>
  <si>
    <t>3.15.4</t>
  </si>
  <si>
    <t>3.15.5</t>
  </si>
  <si>
    <t>3.15.6</t>
  </si>
  <si>
    <t>3.15.7</t>
  </si>
  <si>
    <t>3.16</t>
  </si>
  <si>
    <t>HIDRANTE H2/06</t>
  </si>
  <si>
    <t>3.16.1</t>
  </si>
  <si>
    <t>3.16.2</t>
  </si>
  <si>
    <t>3.16.3</t>
  </si>
  <si>
    <t>3.16.4</t>
  </si>
  <si>
    <t>3.16.5</t>
  </si>
  <si>
    <t>3.16.6</t>
  </si>
  <si>
    <t>3.16.7</t>
  </si>
  <si>
    <t>3.17</t>
  </si>
  <si>
    <t>HIDRANTE H2/07</t>
  </si>
  <si>
    <t>3.17.1</t>
  </si>
  <si>
    <t>3.17.2</t>
  </si>
  <si>
    <t>3.17.3</t>
  </si>
  <si>
    <t>3.17.4</t>
  </si>
  <si>
    <t>3.17.5</t>
  </si>
  <si>
    <t>3.17.6</t>
  </si>
  <si>
    <t>3.17.7</t>
  </si>
  <si>
    <t>3.18</t>
  </si>
  <si>
    <t>HIDRANTES H2/08 e H2/R2</t>
  </si>
  <si>
    <t>3.18.1</t>
  </si>
  <si>
    <t>3.18.2</t>
  </si>
  <si>
    <t>3.18.3</t>
  </si>
  <si>
    <t>ABRIGO PARA HIDRANTE, 90X60X17CM, COM REGISTRO GLOBO ANGULAR 45 GRAUS 2 1/2", ADAPTADOR STORZ 2 1/2", MANGUEIRA DE INCÊNDIO 20M, REDUÇÃO 2 1/2" X 1 1/2" E ESGUICHO EM LATÃO 1 1/2" - FORNECIMENTO E INSTALAÇÃO. AF_10/2020</t>
  </si>
  <si>
    <t>3.18.4</t>
  </si>
  <si>
    <t>3.18.5</t>
  </si>
  <si>
    <t>3.18.6</t>
  </si>
  <si>
    <t>3.18.7</t>
  </si>
  <si>
    <t>3.18.8</t>
  </si>
  <si>
    <t>3.19</t>
  </si>
  <si>
    <t>HIDRANTES H2/09</t>
  </si>
  <si>
    <t>3.19.1</t>
  </si>
  <si>
    <t>3.19.2</t>
  </si>
  <si>
    <t>3.19.3</t>
  </si>
  <si>
    <t>3.19.4</t>
  </si>
  <si>
    <t>3.19.5</t>
  </si>
  <si>
    <t>3.19.6</t>
  </si>
  <si>
    <t>3.20</t>
  </si>
  <si>
    <t>H2-COMPLEMENTOS</t>
  </si>
  <si>
    <t>3.20.1</t>
  </si>
  <si>
    <t>3.20.2</t>
  </si>
  <si>
    <t>3.20.3</t>
  </si>
  <si>
    <t>3.20.4</t>
  </si>
  <si>
    <t>3.20.5</t>
  </si>
  <si>
    <t>3.20.6</t>
  </si>
  <si>
    <t>3.20.7</t>
  </si>
  <si>
    <t>3.20.8</t>
  </si>
  <si>
    <t>3.21</t>
  </si>
  <si>
    <t>PROTEÇÃO E PINTURA DA TUBULAÇÃO</t>
  </si>
  <si>
    <t>3.21.1</t>
  </si>
  <si>
    <t>PINTURA ESMALTE SINTÉTICO VERMELHO - TRECHOS APARENTES</t>
  </si>
  <si>
    <t>PINTURA COM TINTA ALQUÍDICA DE ACABAMENTO (ESMALTE SINTÉTICO BRILHANTE) PULVERIZADA SOBRE PERFIL METÁLICO EXECUTADO EM FÁBRICA  (POR DEMÃO). AF_01/2020_P</t>
  </si>
  <si>
    <t>m²</t>
  </si>
  <si>
    <t>3.21.2</t>
  </si>
  <si>
    <t>FUNDO ANTICORROSIVO EM TODAS AS TUBULAÇÕES</t>
  </si>
  <si>
    <t>PINTURA COM TINTA ALQUÍDICA DE FUNDO (TIPO ZARCÃO) PULVERIZADA SOBRE PERFIL METÁLICO EXECUTADO EM FÁBRICA (POR DEMÃO). AF_01/2020_P</t>
  </si>
  <si>
    <t>4</t>
  </si>
  <si>
    <t>EXTINTORES, PLACAS, ALARME E ILUMINAÇÃO</t>
  </si>
  <si>
    <t>EXTINTORES</t>
  </si>
  <si>
    <t>4.1</t>
  </si>
  <si>
    <t>EXTINTOR ÁGUA 10L</t>
  </si>
  <si>
    <t>101905</t>
  </si>
  <si>
    <t>EXTINTOR DE INCÊNDIO PORTÁTIL COM CARGA DE ÁGUA PRESSURIZADA DE 10 L, CLASSE A - FORNECIMENTO E INSTALAÇÃO. AF_10/2020_P</t>
  </si>
  <si>
    <t>4.2</t>
  </si>
  <si>
    <t>EXTINTOR PQS 4 KG</t>
  </si>
  <si>
    <t>101908</t>
  </si>
  <si>
    <t>EXTINTOR DE INCÊNDIO PORTÁTIL COM CARGA DE PQS DE 4 KG, CLASSE BC - FORNECIMENTO E INSTALAÇÃO. AF_10/2020_P</t>
  </si>
  <si>
    <t>4.3</t>
  </si>
  <si>
    <t>EXTINTOR CARRETA PQS 20KG BC 40 BC</t>
  </si>
  <si>
    <t>08752/ORSE</t>
  </si>
  <si>
    <t>EXTINTOR DE PÓ QUÍMICO SECO (PQS), CAPACIDADE 20 KG SOBRE RODAS</t>
  </si>
  <si>
    <t>4.4</t>
  </si>
  <si>
    <t>EXTINTOR ESPUMA MECÂNICA 10L - 10B</t>
  </si>
  <si>
    <t xml:space="preserve">M0160 SICRO </t>
  </si>
  <si>
    <t xml:space="preserve">EXTINTOR ESPUMA MECÂNICA V = 10L </t>
  </si>
  <si>
    <t>SINALIZAÇÃO</t>
  </si>
  <si>
    <t>4.5</t>
  </si>
  <si>
    <t>PLACA SAÍDA S3</t>
  </si>
  <si>
    <t>37559 INS</t>
  </si>
  <si>
    <t>PLACA DE SINALIZACAO DE SEGURANCA CONTRA INCENDIO, FOTOLUMINESCENTE, RETANGULAR, *12 X 40* CM, EM PVC *2* MM ANTI-CHAMAS (SIMBOLOS, CORES E PICTOGRAMAS CONFORME NBR 13434)</t>
  </si>
  <si>
    <t>4.6</t>
  </si>
  <si>
    <t>PLACA SAÍDA DIRECIONAL S2</t>
  </si>
  <si>
    <t>4.7</t>
  </si>
  <si>
    <t>PLACA SAÍDA FINAL S12</t>
  </si>
  <si>
    <t>4.8</t>
  </si>
  <si>
    <t>PLACA DIRECIONAL C1</t>
  </si>
  <si>
    <t>4.9</t>
  </si>
  <si>
    <t>PLACA E5 EXTINTOR CONJUNTO ÁGUA/PQS</t>
  </si>
  <si>
    <t>37539 INS</t>
  </si>
  <si>
    <t>PLACA DE SINALIZACAO DE SEGURANCA CONTRA INCENDIO, FOTOLUMINESCENTE, RETANGULAR, *13 X 26* CM, EM PVC *2* MM ANTI-CHAMAS (SIMBOLOS, CORES E PICTOGRAMAS CONFORME NBR 13434)</t>
  </si>
  <si>
    <t>4.10</t>
  </si>
  <si>
    <t>PLACA ALARME SONORO QUADRADA FOTOLUMINESCENTE E1</t>
  </si>
  <si>
    <t>37556 INS</t>
  </si>
  <si>
    <t>PLACA DE SINALIZACAO DE SEGURANCA CONTRA INCENDIO, FOTOLUMINESCENTE, QUADRADA, *20 X 20* CM, EM PVC *2* MM ANTI-CHAMAS (SIMBOLOS, CORES E PICTOGRAMAS CONFORME NBR 13434)</t>
  </si>
  <si>
    <t>4.11</t>
  </si>
  <si>
    <t>PLACA ALARME SONORO QUADRADA FOTOLUMINESCENTE E2</t>
  </si>
  <si>
    <t>4.12</t>
  </si>
  <si>
    <t>PLACA ALARME SONORO QUADRADA FOTOLUMINESCENTE E3</t>
  </si>
  <si>
    <t>4.13</t>
  </si>
  <si>
    <t>PLACA SINALIZAÇÃO DE HIDRANTE E7</t>
  </si>
  <si>
    <t>4.14</t>
  </si>
  <si>
    <t>PLACA DIRECIONAL S1</t>
  </si>
  <si>
    <t>4.15</t>
  </si>
  <si>
    <t>PLACA E5 EXTINTOR ESPUMA MEC</t>
  </si>
  <si>
    <t>4.16</t>
  </si>
  <si>
    <t>FAIXA REFLETIVA RODAPÉ 5 cm(50 M)</t>
  </si>
  <si>
    <t>09186/ORSE</t>
  </si>
  <si>
    <t>ADESIVO INDICATIVO DE SAÍDA DE FLUXO DE FUGA, IMPRESSO NO SISTEMA DIGITAL REFLETIVO</t>
  </si>
  <si>
    <t>4.17</t>
  </si>
  <si>
    <t>FITA ANTIDERRAPANTE</t>
  </si>
  <si>
    <t>02228/ORSE</t>
  </si>
  <si>
    <t xml:space="preserve">FITA ANTIDERRAPANTE SAFETY-WALK "3M" L=5CM OU SIMILAR </t>
  </si>
  <si>
    <t>ILUMINAÇÃO DE EMERGÊNCIA</t>
  </si>
  <si>
    <t>4.18</t>
  </si>
  <si>
    <t>LUMINÁRIA EMERGÊNCIA 30 LED</t>
  </si>
  <si>
    <t>97599</t>
  </si>
  <si>
    <t>LUMINÁRIA DE EMERGÊNCIA, COM 30 LÂMPADAS LED DE 2 W, SEM REATOR - FORNECIMENTO E INSTALAÇÃO. AF_02/2020</t>
  </si>
  <si>
    <t>4.19</t>
  </si>
  <si>
    <t>BLOCO DE ILUMINAÇÃO AUTÔNOMO - FAROLETE</t>
  </si>
  <si>
    <t>COTAÇÃO 4</t>
  </si>
  <si>
    <t xml:space="preserve">LUMINÁRIA DE EMERGÊNCIA COM DOIS PROJETORES LED 2000 LUMENS </t>
  </si>
  <si>
    <t>4.20</t>
  </si>
  <si>
    <t>CABO 1.5 MM²</t>
  </si>
  <si>
    <t>91925</t>
  </si>
  <si>
    <t>CABO DE COBRE FLEXÍVEL ISOLADO, 1,5 MM², ANTI-CHAMA 0,6/1,0 KV, PARA CIRCUITOS TERMINAIS - FORNECIMENTO E INSTALAÇÃO. AF_12/2015</t>
  </si>
  <si>
    <t>4.21</t>
  </si>
  <si>
    <t>CANALETA</t>
  </si>
  <si>
    <t>00505/ORSE</t>
  </si>
  <si>
    <t xml:space="preserve">CANALETA PLÁSTICA 20MM X 10MM, SEM DIVISÓRIA (REF. 302 02, PIAL LAGRAND OU SIMILAR </t>
  </si>
  <si>
    <t>4.22</t>
  </si>
  <si>
    <t>TOMADA SISTEMA X</t>
  </si>
  <si>
    <t>07807/ORSE</t>
  </si>
  <si>
    <t>TOMADA DUPLA 2P+T UNIVERSAL, "SISTEMA X", REF. 1434, FAME OU SIMILAR</t>
  </si>
  <si>
    <t>SISTEMA DE ALARME</t>
  </si>
  <si>
    <t>4.23</t>
  </si>
  <si>
    <t>CENTRAL DE ALARME</t>
  </si>
  <si>
    <t>12136/ORSE</t>
  </si>
  <si>
    <t>CENTRAL DE ALARME DE INCENDIO COM SISTEMA DE 04 LAÇOS PARA ATÉ 396 DISPOSITIVOS, MARCA JFL, MODELO VULCANO - 400 OU SIMILAR</t>
  </si>
  <si>
    <t>4.24</t>
  </si>
  <si>
    <t>08058/ORSE</t>
  </si>
  <si>
    <t>CENTRAL DE ALARME E DETECÇÃO DE INCENDIO, CAPACIDADE: 8 LAÇOS, COM 2 LINHAS, MOD.VR-8L, VERIN OU SIMILAR</t>
  </si>
  <si>
    <t>4.25</t>
  </si>
  <si>
    <t>CENTRAL DE ALARME - CABO ACIONADOR</t>
  </si>
  <si>
    <t>11855/ORSE</t>
  </si>
  <si>
    <t>CABO BLINDADO PARA ALARME E DETECÇÃO DE INCÊNCIO 3 X 1,5MM2</t>
  </si>
  <si>
    <t>4.26</t>
  </si>
  <si>
    <t>CENTRAL DE ALARME - CABO 1.5 MM²</t>
  </si>
  <si>
    <t>4.27</t>
  </si>
  <si>
    <t>CENTRAL DE ALARME – ELETRODUTO</t>
  </si>
  <si>
    <t>4.28</t>
  </si>
  <si>
    <t>CENTRAL DE ALARME – DISJUNTOR</t>
  </si>
  <si>
    <t>DISJUNTOR BIPOLAR TIPO DIN, CORRENTE NOMINAL DE 20A - FORNECIMENTO E INSTALAÇÃO. AF_10/2020</t>
  </si>
  <si>
    <t>4.29</t>
  </si>
  <si>
    <t>CENTRAL DE ALARME – BATERIA</t>
  </si>
  <si>
    <t>00276/ORSE INS</t>
  </si>
  <si>
    <t>BATERIA DE 12V X 7A PARA CENTRAIS DE ALARME</t>
  </si>
  <si>
    <t>4.30</t>
  </si>
  <si>
    <t>95780</t>
  </si>
  <si>
    <t>CONDULETE DE ALUMÍNIO, TIPO B, PARA ELETRODUTO DE AÇO GALVANIZADO DN 25 MM (1''), APARENTE - FORNECIMENTO E INSTALAÇÃO. AF_11/2016_P</t>
  </si>
  <si>
    <t>4.31</t>
  </si>
  <si>
    <t>FURO EM ALVENARIA</t>
  </si>
  <si>
    <t>4.32</t>
  </si>
  <si>
    <t>ALARME DE INCÊNDIO</t>
  </si>
  <si>
    <t>11824/ORSE INS</t>
  </si>
  <si>
    <t>SIRENE AUDIOVISUAL ENDEREÇAVEL, 120 db, PARA ALARME DE INCÊNDIO</t>
  </si>
  <si>
    <t>4.33</t>
  </si>
  <si>
    <t>5</t>
  </si>
  <si>
    <t>ADEQUAÇÕES PREDIO CENTRAL SUPERIOR</t>
  </si>
  <si>
    <t>5.1</t>
  </si>
  <si>
    <t>ALARGAMENTO VÃO PASSAGEM CORREDOR - DEMOLIÇÃO</t>
  </si>
  <si>
    <t>97622</t>
  </si>
  <si>
    <t>DEMOLIÇÃO DE ALVENARIA DE BLOCO FURADO, DE FORMA MANUAL, SEM REAPROVEITAMENTO. AF_12/2017</t>
  </si>
  <si>
    <t>5.2</t>
  </si>
  <si>
    <t>ALARGAMENTO VÃO PASSAGEM CORREDOR - REQUADRO</t>
  </si>
  <si>
    <t>87879</t>
  </si>
  <si>
    <t>CHAPISCO APLICADO EM ALVENARIAS E ESTRUTURAS DE CONCRETO INTERNAS, COM COLHER DE PEDREIRO. ARGAMASSA TRAÇO 1:3 COM PREPARO EM BETONEIRA 400L. AF_06/2014</t>
  </si>
  <si>
    <t>5.3</t>
  </si>
  <si>
    <t>87775</t>
  </si>
  <si>
    <t>EMBOÇO OU MASSA ÚNICA EM ARGAMASSA TRAÇO 1:2:8, PREPARO MECÂNICO COM BETONEIRA 400 L, APLICADA MANUALMENTE EM PANOS DE FACHADA COM PRESENÇA DE VÃOS, ESPESSURA DE 25 MM. AF_06/2014</t>
  </si>
  <si>
    <t>5.4</t>
  </si>
  <si>
    <t>88489</t>
  </si>
  <si>
    <t>APLICAÇÃO MANUAL DE PINTURA COM TINTA LÁTEX ACRÍLICA EM PAREDES, DUAS DEMÃOS. AF_06/2014</t>
  </si>
  <si>
    <t>5.5</t>
  </si>
  <si>
    <t>ALARGAMENTO VÃO PASSAGEM CORREDOR - SOLEIRA</t>
  </si>
  <si>
    <t>98689</t>
  </si>
  <si>
    <t>SOLEIRA EM GRANITO, LARGURA 15 CM, ESPESSURA 2,0 CM. AF_09/2020</t>
  </si>
  <si>
    <t>5.6</t>
  </si>
  <si>
    <t>REMOÇÃO DE JANELA</t>
  </si>
  <si>
    <t>97645</t>
  </si>
  <si>
    <t>REMOÇÃO DE JANELAS, DE FORMA MANUAL, SEM REAPROVEITAMENTO. AF_12/2017</t>
  </si>
  <si>
    <t>5.7</t>
  </si>
  <si>
    <t>ABERTURA VÃO PORTA- DEMOLIÇÃO</t>
  </si>
  <si>
    <t>5.8</t>
  </si>
  <si>
    <t>ABERTURA VÃO PORTA- PREENCHIMENTO</t>
  </si>
  <si>
    <t>ALVENARIA DE VEDAÇÃO DE BLOCOS CERÂMICOS FURADOS NA VERTICAL DE 14X19X39 CM (ESPESSURA 14 CM) E ARGAMASSA DE ASSENTAMENTO COM PREPARO MANUAL. AF_12/2021</t>
  </si>
  <si>
    <t>5.9</t>
  </si>
  <si>
    <t>ABERTURA VÃO PORTA- PREENCHIMENTO E REQUADRO</t>
  </si>
  <si>
    <t>5.10</t>
  </si>
  <si>
    <t>5.11</t>
  </si>
  <si>
    <t>5.12</t>
  </si>
  <si>
    <t>ABERTURA VÃO PORTA- SOLEIRA</t>
  </si>
  <si>
    <t>5.13</t>
  </si>
  <si>
    <t>INSTALAÇÃO DE PORTA 150 X 210</t>
  </si>
  <si>
    <t>PORTA DE ALUMÍNIO DE ABRIR COM LAMBRI, COM GUARNIÇÃO, FIXAÇÃO COM PARAFUSOS - FORNECIMENTO E INSTALAÇÃO. AF_12/2019</t>
  </si>
  <si>
    <t>5.14</t>
  </si>
  <si>
    <t>INSTALAÇÃO DE BARRA ANTIPÂNICO</t>
  </si>
  <si>
    <t>09736/ORSE</t>
  </si>
  <si>
    <t>BARRA ANTIPÂNICO SIMPLES SEM CHAVE PARA UMA PORTA REF. MH2585 OU SIMILAR</t>
  </si>
  <si>
    <t xml:space="preserve">UN </t>
  </si>
  <si>
    <t>5.15</t>
  </si>
  <si>
    <t xml:space="preserve">ESCADA METÁLICA </t>
  </si>
  <si>
    <t>COMP. 04</t>
  </si>
  <si>
    <t>ESCADA PRÉDIO CENTRAL - ESCADA EM ESTRUTURA METÁLICA SOLDADA E PARAFUSADA, PILARES E VIGAS EM PERFIL U, PISO EM CHAPA XADREZ, FUNDAÇÃO EM BLOCO E ESTACA BROCA. COM GUARDA CORPO METÁLICO, CORRIMÃO EM AÇO. INCLUSO PINTURA ESMALTE DE TODOS AS ESTRUTURAS</t>
  </si>
  <si>
    <t>6</t>
  </si>
  <si>
    <t>ADEQUAÇÕES PREDIO CENTRAL TÉRREO</t>
  </si>
  <si>
    <t>6.1</t>
  </si>
  <si>
    <t>RETIRADA PARA INVERSÃO DE SENTIDO: PORTAS ENTRE B - C; PORTA ENTRE D-E; PORTA FIM DO CORREDOR; PORTA DIV. ACAD; BLOCO E</t>
  </si>
  <si>
    <t>97644 ADAPTADO</t>
  </si>
  <si>
    <t>REMOÇÃO DE PORTAS, DE FORMA MANUAL, COM REAPROVEITAMENTO. AF_12/2017</t>
  </si>
  <si>
    <t>6.2</t>
  </si>
  <si>
    <t>REINSTALAÇÃO: PORTAS ENTRE B - C; PORTA ENTRE D-E; PORTA FIM DO CORREDOR; PORTA DIV. ACAD; BLOCO E</t>
  </si>
  <si>
    <t>100701 ADAPTADO</t>
  </si>
  <si>
    <t>PORTA DE FERRO, DE ABRIR, TIPO GRADE COM CHAPA, COM GUARNIÇÕES. AF_12/2019 - (SOMENTE MÃO DE OBRA)</t>
  </si>
  <si>
    <t>6.3</t>
  </si>
  <si>
    <t>ABERTURA DE PORTA ENTRE C-D: RETIRAR JANELA</t>
  </si>
  <si>
    <t>6.4</t>
  </si>
  <si>
    <t>ABERTURA DE PORTA ENTRE C-D: DEMOLIÇÃO VÃO</t>
  </si>
  <si>
    <t>6.5</t>
  </si>
  <si>
    <t>ABERTURA DE PORTA ENTRE C-D:PREENCHIMENTO ALVENARIA</t>
  </si>
  <si>
    <t>6.6</t>
  </si>
  <si>
    <t>ABERTURA DE PORTA ENTRE C-D:CHAPISCO</t>
  </si>
  <si>
    <t>6.7</t>
  </si>
  <si>
    <t>ABERTURA DE PORTA ENTRE C-D:REBOCO</t>
  </si>
  <si>
    <t>6.8</t>
  </si>
  <si>
    <t>ABERTURA DE PORTA ENTRE C-D:PINTURA PAREDE</t>
  </si>
  <si>
    <t>6.9</t>
  </si>
  <si>
    <t>ABERTURA DE PORTA ENTRE C-D: PORTA 200X210</t>
  </si>
  <si>
    <t>102184 ADAPTADO</t>
  </si>
  <si>
    <t>PORTA DE ABRIR, EM VIDRO TEMPERADO, ESPESSURA 10 MM, INCLUSIVE ACESSÓRIOS. AF_01/2021 
[adaptação - sem mola hidráulica e preço convertido para o metro quadrado]</t>
  </si>
  <si>
    <t>6.10</t>
  </si>
  <si>
    <t>7</t>
  </si>
  <si>
    <t>ADEQUAÇÕES ENFERMAGEM</t>
  </si>
  <si>
    <t>7.1</t>
  </si>
  <si>
    <t>TROCA PORTA DE ENTRADA: REMOVER PORTA 80 CM E TROCA PORTA DE SALÃO DIV: REMOVER PORTA 70 CM</t>
  </si>
  <si>
    <t>REMOÇÃO DE PORTAS, DE FORMA MANUAL, SEM REAPROVEITAMENTO. AF_12/2017</t>
  </si>
  <si>
    <t>7.2</t>
  </si>
  <si>
    <t>TROCA PORTA DE ENTRADA: ABRIR VÃO E TROCA PORTA DE SALÃO DIV: ABRIR VÃO</t>
  </si>
  <si>
    <t>7.3</t>
  </si>
  <si>
    <t>TROCA PORTA DE ENTRADA: REQUADRO E TROCA PORTA DE SALÃO DIV: REQUADRO</t>
  </si>
  <si>
    <t>7.4</t>
  </si>
  <si>
    <t>7.5</t>
  </si>
  <si>
    <t>TROCA PORTA DE ENTRADA: REQUADRO E TROCA PORTA SALÃO DIV: REQUADRO</t>
  </si>
  <si>
    <t>7.6</t>
  </si>
  <si>
    <t>TROCA PORTA DE ENTRADA E TROCA PORTA SALÃO DIV: SOLEIRA</t>
  </si>
  <si>
    <t>7.7</t>
  </si>
  <si>
    <t>TROCA PORTA DE ENTRADA: INSTALAÇÃO 100 CM</t>
  </si>
  <si>
    <t>7.8</t>
  </si>
  <si>
    <t>TROCA PORTA DE SALÃO DIV: INSTALAÇÃO 90 CM</t>
  </si>
  <si>
    <t>91317</t>
  </si>
  <si>
    <t>KIT DE PORTA DE MADEIRA PARA PINTURA, SEMI-OCA (PESADA OU SUPERPESADA), PADRÃO POPULAR, 90X210CM, ESPESSURA DE 3,5CM, ITENS INCLUSOS: DOBRADIÇAS, MONTAGEM E INSTALAÇÃO DO BATENTE, FECHADURA COM EXECUÇÃO DO FURO - FORNECIMENTO E INSTALAÇÃO. AF_12/2019</t>
  </si>
  <si>
    <t>7.9</t>
  </si>
  <si>
    <t>TROCA PORTA DE SALÃO DIV: pintura porta</t>
  </si>
  <si>
    <t>102219</t>
  </si>
  <si>
    <t>PINTURA TINTA DE ACABAMENTO (PIGMENTADA) ESMALTE SINTÉTICO ACETINADO EM MADEIRA, 2 DEMÃOS. AF_01/2021</t>
  </si>
  <si>
    <t>7.10</t>
  </si>
  <si>
    <t>ALARGAMENTO CORREDOR SALÃO DIV - RETIRAR DIVISÓRIA</t>
  </si>
  <si>
    <t>97638</t>
  </si>
  <si>
    <t>REMOÇÃO DE CHAPAS E PERFIS DE DRYWALL, DE FORMA MANUAL, SEM REAPROVEITAMENTO. AF_12/2017</t>
  </si>
  <si>
    <t>7.11</t>
  </si>
  <si>
    <t>ALARGAMENTO CORREDOR SALÃO DIV - REINSTALAR DIVISÓRIA</t>
  </si>
  <si>
    <t>96358 ADAPTADO</t>
  </si>
  <si>
    <t>ADAP SOMENTE MÃO DE OBRA -PAREDE COM PLACAS DE GESSO ACARTONADO (DRYWALL), PARA USO INTERNO, COM DUAS FACES SIMPLES E ESTRUTURA METÁLICA COM GUIAS SIMPLES, SEM VÃOS. AF_06/2017_P</t>
  </si>
  <si>
    <t>7.12</t>
  </si>
  <si>
    <t>TROCA DA PORTA DE VIDRO PERMANÊNCIA - RETIRADA</t>
  </si>
  <si>
    <t>REMOÇÃO DE VIDRO TEMPERADO FIXADO EM PERFIL U. AF_01/2021</t>
  </si>
  <si>
    <t>7.13</t>
  </si>
  <si>
    <t>TROCA DA PORTA DE VIDRO PERMANÊNCIA - NOVA PORTA ABRIR 2 FOLHAS</t>
  </si>
  <si>
    <t>8</t>
  </si>
  <si>
    <t>ADEQUAÇÕES BIOLOGIA</t>
  </si>
  <si>
    <t>8.1</t>
  </si>
  <si>
    <t>ABERTURA DE PORTA FINAL CORREDOR: RETIRAR JANELA</t>
  </si>
  <si>
    <t>8.2</t>
  </si>
  <si>
    <t>ABERTURA DE PORTA FINAL CORREDOR: DEMOLIÇÃO VÃO</t>
  </si>
  <si>
    <t>8.3</t>
  </si>
  <si>
    <t>ABERTURA DE PORTA FINAL CORREDOR:PREENCHIMENTO ALVENARIA</t>
  </si>
  <si>
    <t>8.4</t>
  </si>
  <si>
    <t>ABERTURA DE PORTA FINAL CORREDOR::CHAPISCO</t>
  </si>
  <si>
    <t>8.5</t>
  </si>
  <si>
    <t>ABERTURA DE PORTA FINAL CORREDOR:REBOCO</t>
  </si>
  <si>
    <t>8.6</t>
  </si>
  <si>
    <t>ABERTURA DE PORTA FINAL CORREDOR:PINTURA PAREDE</t>
  </si>
  <si>
    <t>8.7</t>
  </si>
  <si>
    <t>ABERTURA DE PORTA FINAL CORREDOR:PORTA 100X210</t>
  </si>
  <si>
    <t>8.8</t>
  </si>
  <si>
    <t>ABERTURA DE PORTA FINAL CORREDOR:SOLEIRA</t>
  </si>
  <si>
    <t>9</t>
  </si>
  <si>
    <t>ADEQUAÇÕES NICOLETTI</t>
  </si>
  <si>
    <t>9.1</t>
  </si>
  <si>
    <t>INVERSÃO DA PORTA DE VIDRO HALL - RETIRADA</t>
  </si>
  <si>
    <t>97644</t>
  </si>
  <si>
    <t>9.2</t>
  </si>
  <si>
    <t xml:space="preserve">INVERSÃO DA PORTA DE VIDRO HALL - NOVA PORTA </t>
  </si>
  <si>
    <t>PORTA DE ABRIR, EM VIDRO TEMPERADO,  ESPESSURA 10 MM, INCLUSIVE ACESSÓRIOS. AF_01/2021 
[adaptação - sem mola hidráulica e preço convertido para o metro quadrado]</t>
  </si>
  <si>
    <t>9.3</t>
  </si>
  <si>
    <t>PORTA DE VIDRO DO HALL - BARRA ANTIPÂNICO</t>
  </si>
  <si>
    <t xml:space="preserve">BARRA ANTIPÂNICO SIMPLES SEM CHAVE PARA UMA PORTA REF. MH2585 OU SIMILAR </t>
  </si>
  <si>
    <t>10</t>
  </si>
  <si>
    <t>ADEQUAÇÕES BIBLIOTECA</t>
  </si>
  <si>
    <t>10.1</t>
  </si>
  <si>
    <t>TROCA PORTA: RETIRADA CORRER</t>
  </si>
  <si>
    <t>10.2</t>
  </si>
  <si>
    <t>TROCA PORTA DE ENTRADA: REQUADRO</t>
  </si>
  <si>
    <t>CHAPISCO APLICADO EM ALVENARIAS E ESTRUTURAS DE CONCRETO INTERNAS, COM COLHER DE PEDREIRO.  ARGAMASSA TRAÇO 1:3 COM PREPARO EM BETONEIRA 400L. AF_06/2014</t>
  </si>
  <si>
    <t>10.3</t>
  </si>
  <si>
    <t>10.4</t>
  </si>
  <si>
    <t>10.5</t>
  </si>
  <si>
    <t>TROCA PORTA: INSTALAÇÃO ABRIR 100X210</t>
  </si>
  <si>
    <t>10.6</t>
  </si>
  <si>
    <t>INSTALAÇÃO BAP</t>
  </si>
  <si>
    <t>11</t>
  </si>
  <si>
    <t>ADEQUAÇÕES OFICINA</t>
  </si>
  <si>
    <t>11.1</t>
  </si>
  <si>
    <t>MURETA APOIO EXTINTORES E MURETA CONTENÇÃO TANQUE: ALVENARIA</t>
  </si>
  <si>
    <t>ALVENARIA DE VEDAÇÃO DE BLOCOS CERÂMICOS FURADOS NA VERTICAL DE 14X19X39CM (ESPESSURA 14CM) DE PAREDES COM ÁREA LÍQUIDA MENOR QUE 6M² SEM VÃOS E ARGAMASSA DE ASSENTAMENTO COM PREPARO MANUAL. AF_06/2014</t>
  </si>
  <si>
    <t>M²</t>
  </si>
  <si>
    <t>11.2</t>
  </si>
  <si>
    <t>MURETA APOIO EXTINTORES E MURETA CONTENÇÃO TANQUE: CHAPISCO</t>
  </si>
  <si>
    <t>11.3</t>
  </si>
  <si>
    <t>MURETA APOIO EXTINTORES E MURETA CONTENÇÃO TANQUE: REBOCO</t>
  </si>
  <si>
    <t>11.4</t>
  </si>
  <si>
    <t>CALÇADA CONCRETO BASE TANQUE</t>
  </si>
  <si>
    <t>94993</t>
  </si>
  <si>
    <t>EXECUÇÃO DE PASSEIO (CALÇADA) OU PISO DE CONCRETO COM CONCRETO MOLDADO IN LOCO, USINADO, ACABAMENTO CONVENCIONAL, ESPESSURA 6 CM, ARMADO. AF_07/2016</t>
  </si>
  <si>
    <t>11.5</t>
  </si>
  <si>
    <t>CALÇADA CONCRETO E MURETA DE CONTENÇÃO TANQUE
 IMPERMEABILIZAÇÃO</t>
  </si>
  <si>
    <t>98554</t>
  </si>
  <si>
    <t>IMPERMEABILIZAÇÃO DE SUPERFÍCIE COM MEMBRANA À BASE DE RESINA ACRÍLICA, 3 DEMÃOS. AF_06/2018</t>
  </si>
  <si>
    <t>11.6</t>
  </si>
  <si>
    <t>TANQUE 3000L</t>
  </si>
  <si>
    <t>COTAÇÃO 1</t>
  </si>
  <si>
    <t>TANQUE AÉREO EM AÇO CARBONO COM PINTURA EXTERNA -  COMPLETO COM VÁLVULAS E ACESSÓRIOS -  PARA DIESEL CAPACIDADE 3000L</t>
  </si>
  <si>
    <t>11.7</t>
  </si>
  <si>
    <t>KIT ABASTECIMENTO</t>
  </si>
  <si>
    <t>COTAÇÃO 2</t>
  </si>
  <si>
    <t>KIT DE ABASTECIMENTO PARA GASOLINA E DIESEL, 230V, COM MEDIDOR, 4 METROS DE MANGUEIRA E BICO AUTOMÁTICO, VAZÃO 60 L/MIN</t>
  </si>
  <si>
    <t>11.8</t>
  </si>
  <si>
    <t>KIT ABASTECIMENTO -INST. ELÉTRICA</t>
  </si>
  <si>
    <t>93144</t>
  </si>
  <si>
    <t>PONTO DE UTILIZAÇÃO DE EQUIPAMENTOS ELÉTRICOS, INCLUINDO SUPORTE E PLACA, CAIXA ELÉTRICA, ELETRODUTO, CABO, RASGO, QUEBRA E CHUMBAMENTO. AF_01/2016</t>
  </si>
  <si>
    <t>11.9</t>
  </si>
  <si>
    <t>ABRIGO DO TANQUE</t>
  </si>
  <si>
    <t>COMP. 03</t>
  </si>
  <si>
    <t>ABRIGO TANQUE DE COMBUSTÍVEL - ESTRUTURA METÁLICA TRELIÇADA, TELHAMENTO EM AÇO, FUNDAÇÃO EM BLOCO E ESTACA BROCA DE CONCRETO ARMADO, PINTURA ESMALTE EM TODA ESTRUTURA METÁLICA</t>
  </si>
  <si>
    <t>12</t>
  </si>
  <si>
    <t>ADEQUAÇÕES SETOR VETERINÁRIA</t>
  </si>
  <si>
    <t>12.1</t>
  </si>
  <si>
    <t>12.2</t>
  </si>
  <si>
    <t>M³</t>
  </si>
  <si>
    <t>12.3</t>
  </si>
  <si>
    <t>12.4</t>
  </si>
  <si>
    <t>ABERTURA DE PORTA FINAL CORREDOR:CHAPISCO</t>
  </si>
  <si>
    <t>12.5</t>
  </si>
  <si>
    <t>12.6</t>
  </si>
  <si>
    <t>12.7</t>
  </si>
  <si>
    <t>12.8</t>
  </si>
  <si>
    <t>12.9</t>
  </si>
  <si>
    <t>AUDITÓRIO: TROCA PORTA RETIRAR ( 2UN)</t>
  </si>
  <si>
    <t>12.10</t>
  </si>
  <si>
    <t>AUDITÓRIO: TROCA PORTA REQUADRO</t>
  </si>
  <si>
    <t>12.11</t>
  </si>
  <si>
    <t>12.12</t>
  </si>
  <si>
    <t>12.13</t>
  </si>
  <si>
    <t>AUDITÓRIO: TROCA PORTA INSTALAR 100X210</t>
  </si>
  <si>
    <t>90793 ADAPTADO</t>
  </si>
  <si>
    <t>KIT DE PORTA-PRONTA DE MADEIRA EM ACABAMENTO MELAMÍNICO BRANCO, FOLHA PESADA OU SUPERPESADA, FIXAÇÃO COM PREENCHIMENTO TOTAL DE ESPUMA EXPANSIVA - FORNECIMENTO E INSTALAÇÃO. AF_12/2019 [ADAPTADO PARA VALOR EM M²]</t>
  </si>
  <si>
    <t>12.14</t>
  </si>
  <si>
    <t>AUDITÓRIO:SOLEIRA</t>
  </si>
  <si>
    <t>12.15</t>
  </si>
  <si>
    <t>AUDITÓRIO: TROCA PORTA PINTURA</t>
  </si>
  <si>
    <t>100749</t>
  </si>
  <si>
    <t>PINTURA COM TINTA ALQUÍDICA DE ACABAMENTO (ESMALTE SINTÉTICO FOSCO) PULVERIZADA SOBRE SUPERFÍCIES METÁLICAS (EXCETO PERFIL) EXECUTADO EM OBRA (POR DEMÃO). AF_01/2020</t>
  </si>
  <si>
    <t>13</t>
  </si>
  <si>
    <t>ADEQUAÇÕES SETOR PROD VEGETAL</t>
  </si>
  <si>
    <t>13.1</t>
  </si>
  <si>
    <t>TROCA PORTA DOS FUNDOS: RETIRADA 80 CM</t>
  </si>
  <si>
    <t>13.2</t>
  </si>
  <si>
    <t>TROCA PORTA DOS FUNDOS: ABRIR VÃO</t>
  </si>
  <si>
    <t>13.3</t>
  </si>
  <si>
    <t>TROCA PORTA DOS FUNDOS: REQUADRO</t>
  </si>
  <si>
    <t>13.4</t>
  </si>
  <si>
    <t>13.5</t>
  </si>
  <si>
    <t>TROCA PORTADOS FUNDOS: REQUADRO</t>
  </si>
  <si>
    <t>13.6</t>
  </si>
  <si>
    <t>TROCA PORTA DOS FUNDOS: SOLEIRA</t>
  </si>
  <si>
    <t>13.7</t>
  </si>
  <si>
    <t>TROCA PORTA DOS FUNDOS: INSTALAÇÃO 100 CM</t>
  </si>
  <si>
    <t>14</t>
  </si>
  <si>
    <t>ADEQUAÇÕES SETOR ENGENHARIA</t>
  </si>
  <si>
    <t>14.1</t>
  </si>
  <si>
    <t>14.2</t>
  </si>
  <si>
    <t>14.3</t>
  </si>
  <si>
    <t>14.4</t>
  </si>
  <si>
    <t>14.5</t>
  </si>
  <si>
    <t>14.6</t>
  </si>
  <si>
    <t>14.7</t>
  </si>
  <si>
    <t>14.8</t>
  </si>
  <si>
    <t>15</t>
  </si>
  <si>
    <t>ADEQUAÇÕES NEAT</t>
  </si>
  <si>
    <t>15.1</t>
  </si>
  <si>
    <t>ABERTURA DE VÃO NO PEITORIL</t>
  </si>
  <si>
    <t>15.2</t>
  </si>
  <si>
    <t>ABERTURA DE VÃO NO PEITORIL - ACABAMENTO</t>
  </si>
  <si>
    <t>15.3</t>
  </si>
  <si>
    <t>15.4</t>
  </si>
  <si>
    <t>15.5</t>
  </si>
  <si>
    <t>EXECUÇÃO DE ESCADA METÁLICA</t>
  </si>
  <si>
    <t>COMP. 05</t>
  </si>
  <si>
    <t>ESCADA NEAT - ESCADA EM ESTRUTURA METÁLICA SOLDADA E PARAFUSADA, PILARES E VIGAS EM PERFIL U, PISO EM CHAPAXADREZ, FUNDAÇÃO EM BLOCO E ESTACA BROC. COM GUARDA CORPO METÁLICO, CORRIMÃO EM AÇO. INCLUSO PINTURA ESMALTE DE TODOS AS ESTRUTURAS</t>
  </si>
  <si>
    <t>16</t>
  </si>
  <si>
    <t>LIMPEZA GERAL E RETIRADA DE ENTULHOS</t>
  </si>
  <si>
    <t>16.1</t>
  </si>
  <si>
    <t>LONA PARA PROTEÇÃO DE AMBIENTES</t>
  </si>
  <si>
    <t>APLICAÇÃO DE LONA PLÁSTICA PARA EXECUÇÃO DE PAVIMENTOS DE CONCRETO. AF_04/2022</t>
  </si>
  <si>
    <t>16.2</t>
  </si>
  <si>
    <t>LIMPEZA EM GERAL LOCAIS DE INTERVENÇÃO</t>
  </si>
  <si>
    <t>99803 ADAPTADO</t>
  </si>
  <si>
    <t>LIMPEZA DE PISO CERÂMICO OU PORCELANATO COM PANO ÚMIDO. AF_04/2019 [ADAPTADO PARA LIMPEZA GERAL DA OBRA NOS AMBIENTES DE INTERVENÇÕES]</t>
  </si>
  <si>
    <t>16.3</t>
  </si>
  <si>
    <t>COLETA ENTULHO</t>
  </si>
  <si>
    <t>00026/ORSE</t>
  </si>
  <si>
    <t>COLETA E CARGA MANUAIS DE ENTULHO</t>
  </si>
  <si>
    <t>16.4</t>
  </si>
  <si>
    <t>CARGA E TRANSPORTE</t>
  </si>
  <si>
    <t xml:space="preserve">CARGA, MANOBRA E DESCARGA DE ENTULHO </t>
  </si>
  <si>
    <t>VALORES</t>
  </si>
  <si>
    <t>COMPOSIÇÃO</t>
  </si>
  <si>
    <t>VALOR UNITÁRIO (SEM BDI)</t>
  </si>
  <si>
    <t>VALOR TOTAL (SEM BDI)</t>
  </si>
  <si>
    <t>DESCRIÇÃO</t>
  </si>
  <si>
    <t>UNIDADE</t>
  </si>
  <si>
    <t>QNT.</t>
  </si>
  <si>
    <t>MAT. + EQUIP.</t>
  </si>
  <si>
    <t>VALOR TOTAL</t>
  </si>
  <si>
    <t>CORDOALHA</t>
  </si>
  <si>
    <t>CORDOALHA DE COBRE NU 35 MM², NÃO ENTERRADA, COM ISOLADOR - FORNECIMENTO E INSTALAÇÃO. AF_12/2017</t>
  </si>
  <si>
    <t>ELETRODUTO PVC 40MM (1 ¼ ) PARA SPDA - FORNECIMENTO E INSTALAÇÃO. AF_12/2017</t>
  </si>
  <si>
    <t>HASTE</t>
  </si>
  <si>
    <t>HASTE DE ATERRAMENTO 3/4 PARA SPDA - FORNECIMENTO E INSTALAÇÃO. AF_12/2017</t>
  </si>
  <si>
    <t>BASE METÁLICA</t>
  </si>
  <si>
    <t>BASE METÁLICA PARA MASTRO 1 ½ PARA SPDA - FORNECIMENTO E INSTALAÇÃO. AF_12/2017</t>
  </si>
  <si>
    <t>MASTRO</t>
  </si>
  <si>
    <t>MASTRO 1 ½ PARA SPDA - FORNECIMENTO E INSTALAÇÃO. AF_12/2017</t>
  </si>
  <si>
    <t>CAPTOR FRANKLIN</t>
  </si>
  <si>
    <t>CAPTOR TIPO FRANKLIN PARA SPDA - FORNECIMENTO E INSTALAÇÃO. AF_12/2017</t>
  </si>
  <si>
    <t>SUPORTE</t>
  </si>
  <si>
    <t>SUPORTE ISOLADOR PARA CORDOALHA DE COBRE - FORNECIMENTO E INSTALAÇÃO. AF_12/2017</t>
  </si>
  <si>
    <t>Total:</t>
  </si>
  <si>
    <t>FURO</t>
  </si>
  <si>
    <t>FURO EM ALVENARIA PARA DIÂMETROS MAIORES QUE 40 MM E MENORES OU IGUAIS A 75 MM. AF_05/2015</t>
  </si>
  <si>
    <t>PREENCHIMENTO</t>
  </si>
  <si>
    <t>CHUMBAMENTO PONTUAL DE ABERTURA EM LAJE COM PASSAGEM DE 1 TUBO DE DIAMETRO EQUIVALENTE IGUAL À 50 MM. AF_05/2015</t>
  </si>
  <si>
    <t>PINTURA</t>
  </si>
  <si>
    <t>ESTRUTURA</t>
  </si>
  <si>
    <t>ESTRUTURA TRELIÇADA DE COBERTURA, TIPO SHED, COM LIGAÇÕES PARAFUSADAS, INCLUSOS PERFIS METÁLICOS, CHAPAS METÁLICAS, MÃO DE OBRA E TRANSPORTE COM GUINDASTE - FORNECIMENTO E INSTALAÇÃO. AF_01/2020_P</t>
  </si>
  <si>
    <t>TELHAMENTO</t>
  </si>
  <si>
    <t>TELHAMENTO COM TELHA DE AÇO/ALUMÍNIO E = 0,5 MM, COM ATÉ 2 ÁGUAS, INCLUSO IÇAMENTO. AF_07/2019</t>
  </si>
  <si>
    <t>CONCRETO BLOCO</t>
  </si>
  <si>
    <t>CONCRETAGEM DE RADIER, PISO DE CONCRETO OU LAJE SOBRE SOLO, FCK 30 MPA - LANÇAMENTO, ADENSAMENTO E ACABAMENTO. AF_09/2021</t>
  </si>
  <si>
    <t>FERRAGEM</t>
  </si>
  <si>
    <t>ARMAÇÃO DE BLOCO, VIGA BALDRAME OU SAPATA UTILIZANDO AÇO CA-50 DE 8 MM - MONTAGEM. AF_06/2017</t>
  </si>
  <si>
    <t>FORMA</t>
  </si>
  <si>
    <t>ESTACA</t>
  </si>
  <si>
    <t>PINTURA COM TINTA ALQUÍDICA DE FUNDO E ACABAMENTO (ESMALTE SINTÉTICO GRAFITE) PULVERIZADA SOBRE SUPERFÍCIES METÁLICAS (EXCETO PERFIL) EXECUTADO EM OBRA (POR DEMÃO). AF_01/2020_P</t>
  </si>
  <si>
    <t>CONCRETO</t>
  </si>
  <si>
    <t>PILAR + VIGAS</t>
  </si>
  <si>
    <t>VIGA METÁLICA EM PERFIL LAMINADO OU SOLDADO EM AÇO ESTRUTURAL, COM CONEXÕES PARAFUSADAS, INCLUSOS MÃO DE OBRA, TRANSPORTE E IÇAMENTO UTILIZANDO GUINDASTE - FORNECIMENTO E INSTALAÇÃO. AF_01/2020_P</t>
  </si>
  <si>
    <t>PISO</t>
  </si>
  <si>
    <t>100763 ADAPT.</t>
  </si>
  <si>
    <t>(ADAPTADO - CHAPA DE ACO XADREZ PARA PISOS, E = 1/4 " (6,30 MM) 54,53 KG/M2) EM AÇO ESTRUTURAL, COM CONEXÕES PARAFUSADAS, INCLUSOS MÃO DE OBRA, TRANSPORTE E IÇAMENTO UTILIZANDO GUINDASTE - FORNECIMENTO E INSTALAÇÃO. AF_01/2020_P</t>
  </si>
  <si>
    <t>GUARDA-CORPO</t>
  </si>
  <si>
    <t>GUARDA-CORPO DE AÇO GALVANIZADO DE 1,10M, MONTANTES TUBULARES DE 1.1/4" ESPAÇADOS DE 1,20M, TRAVESSA SUPERIOR DE 1.1/2", GRADIL FORMADO POR TUBOS HORIZONTAIS DE 1" E VERTICAIS DE 3/4", FIXADO COM CHUMBADOR MECÂNICO. AF_04/2019_P</t>
  </si>
  <si>
    <t>CORRIMÃO</t>
  </si>
  <si>
    <t>CORRIMÃO SIMPLES, DIÂMETRO EXTERNO = 1 1/2", EM AÇO GALVANIZADO. AF_04/2019_P</t>
  </si>
  <si>
    <t>ARMAÇÃO DE BLOCO, VIGA BALDRAME OU SAPATA UTILIZANDO AÇO CA-50  - MONTAGEM. AF_06/2017</t>
  </si>
  <si>
    <t>COTAÇÕES UENP - MERCADO</t>
  </si>
  <si>
    <t>TANQUE AÉREO EM AÇO CARBONO COM PINTURA EXTERNA -  COMPLETO COM VÁLVULAS E ACESSÓRIOS -  PARA DIESEL CAPACIDADE 3000L</t>
  </si>
  <si>
    <t>Empresa</t>
  </si>
  <si>
    <t>Empresa 1:</t>
  </si>
  <si>
    <t>Empresa 2:</t>
  </si>
  <si>
    <t>Empresa 3:</t>
  </si>
  <si>
    <t>Razão Social</t>
  </si>
  <si>
    <t xml:space="preserve">MEDIZA EQUIPAMENTOS AGRO-INDUSTRIAIS LTDA </t>
  </si>
  <si>
    <t>ECOBRASIL INDUSTRIA E COMERCIO LTDA</t>
  </si>
  <si>
    <t xml:space="preserve">PASSAFARO METAL MECANICA DO BRASIL LTDA
</t>
  </si>
  <si>
    <t>CNPJ:</t>
  </si>
  <si>
    <t>00.279.510.0001-40</t>
  </si>
  <si>
    <t>07.679.248/0001-70</t>
  </si>
  <si>
    <t>07.054.142/0001-80</t>
  </si>
  <si>
    <t>Valor</t>
  </si>
  <si>
    <t>Média</t>
  </si>
  <si>
    <r>
      <rPr>
        <rFont val="Calibri"/>
        <color rgb="FF000000"/>
        <sz val="10.0"/>
        <u/>
      </rPr>
      <t>PETRO LIDER COMERCIO DE EQUIPAMENTOS PARA ABASTECER E LUBRIFICAR EIRELI (</t>
    </r>
    <r>
      <rPr>
        <rFont val="Calibri"/>
        <color rgb="FF1155CC"/>
        <sz val="10.0"/>
        <u/>
      </rPr>
      <t>link</t>
    </r>
    <r>
      <rPr>
        <rFont val="Calibri"/>
        <color rgb="FF000000"/>
        <sz val="10.0"/>
        <u/>
      </rPr>
      <t>)</t>
    </r>
  </si>
  <si>
    <r>
      <rPr>
        <rFont val="Calibri"/>
        <color rgb="FF000000"/>
        <sz val="10.0"/>
        <u/>
      </rPr>
      <t>GURGELMIX MAQUINHAS E FERRAMENTAS S.A. (</t>
    </r>
    <r>
      <rPr>
        <rFont val="Calibri"/>
        <color rgb="FF1155CC"/>
        <sz val="10.0"/>
        <u/>
      </rPr>
      <t>link</t>
    </r>
    <r>
      <rPr>
        <rFont val="Calibri"/>
        <color rgb="FF000000"/>
        <sz val="10.0"/>
        <u/>
      </rPr>
      <t>)</t>
    </r>
  </si>
  <si>
    <r>
      <rPr>
        <rFont val="Calibri"/>
        <color theme="1"/>
        <sz val="10.0"/>
      </rPr>
      <t>CASA DO FRENTISTA COMERCIO DE MAQUINAS LTDA (</t>
    </r>
    <r>
      <rPr>
        <rFont val="Calibri"/>
        <color rgb="FF1155CC"/>
        <sz val="10.0"/>
        <u/>
      </rPr>
      <t>link</t>
    </r>
    <r>
      <rPr>
        <rFont val="Calibri"/>
        <color theme="1"/>
        <sz val="10.0"/>
      </rPr>
      <t>)</t>
    </r>
  </si>
  <si>
    <t>34.560.360/0001-60</t>
  </si>
  <si>
    <t>29.302.348/0001-15</t>
  </si>
  <si>
    <t>21.463.174/0001-60</t>
  </si>
  <si>
    <t>RESERVATÓRIO METÁLICO CILÍNDRICO COM CAPACIDADE PARA 30.000 LITROS</t>
  </si>
  <si>
    <t>BADY ACO LTDA</t>
  </si>
  <si>
    <t>A.B. CAVALCANTI RESERVATORIOS</t>
  </si>
  <si>
    <t>30.985.955/0001-06</t>
  </si>
  <si>
    <t>29.694.872/0001-89</t>
  </si>
  <si>
    <t>Proposta</t>
  </si>
  <si>
    <t xml:space="preserve">LUMINÁRIA DE EMERGÊNCIA COM DOIS PROJETORES LED DE 2000 LUMENS </t>
  </si>
  <si>
    <r>
      <rPr>
        <rFont val="Calibri"/>
        <color theme="1"/>
        <sz val="10.0"/>
      </rPr>
      <t>AMERICANAS S.A. (</t>
    </r>
    <r>
      <rPr>
        <rFont val="Calibri"/>
        <color rgb="FF1155CC"/>
        <sz val="10.0"/>
        <u/>
      </rPr>
      <t>link</t>
    </r>
    <r>
      <rPr>
        <rFont val="Calibri"/>
        <color theme="1"/>
        <sz val="10.0"/>
      </rPr>
      <t>)</t>
    </r>
  </si>
  <si>
    <r>
      <rPr>
        <rFont val="Calibri"/>
        <color theme="1"/>
        <sz val="10.0"/>
      </rPr>
      <t>DUTRA MAQUINAS COMERCIAL E TECNICA LTDA (</t>
    </r>
    <r>
      <rPr>
        <rFont val="Calibri"/>
        <color rgb="FF1155CC"/>
        <sz val="10.0"/>
        <u/>
      </rPr>
      <t>link</t>
    </r>
    <r>
      <rPr>
        <rFont val="Calibri"/>
        <color theme="1"/>
        <sz val="10.0"/>
      </rPr>
      <t>)</t>
    </r>
  </si>
  <si>
    <r>
      <rPr>
        <rFont val="Calibri"/>
        <color theme="1"/>
        <sz val="10.0"/>
      </rPr>
      <t>AOPEN DO BRASIL SOLUCOES TECNOLOGICAS LTDA (</t>
    </r>
    <r>
      <rPr>
        <rFont val="Calibri"/>
        <color rgb="FF1155CC"/>
        <sz val="10.0"/>
        <u/>
      </rPr>
      <t>link</t>
    </r>
    <r>
      <rPr>
        <rFont val="Calibri"/>
        <color theme="1"/>
        <sz val="10.0"/>
      </rPr>
      <t>)</t>
    </r>
  </si>
  <si>
    <t>00.776.574/0006-60</t>
  </si>
  <si>
    <t>50.970.342/0001-02</t>
  </si>
  <si>
    <t>24.822.848/0002-45</t>
  </si>
  <si>
    <t>CRONOGRAMA FÍSICO- FINANCEIRO</t>
  </si>
  <si>
    <t>SERVIÇO/LOCAL</t>
  </si>
  <si>
    <t>30 DIAS</t>
  </si>
  <si>
    <t>60 DIAS</t>
  </si>
  <si>
    <t>90 DIAS</t>
  </si>
  <si>
    <t>120 DIAS</t>
  </si>
  <si>
    <t>150 DIAS</t>
  </si>
  <si>
    <t>180 DIAS</t>
  </si>
  <si>
    <t>Valores</t>
  </si>
  <si>
    <t>%</t>
  </si>
  <si>
    <t>R$</t>
  </si>
  <si>
    <t>R$ parcial (valor período)</t>
  </si>
  <si>
    <t>%_parcial  (período)</t>
  </si>
  <si>
    <t>R$_ acumulado</t>
  </si>
  <si>
    <t>%_acumulado</t>
  </si>
  <si>
    <t xml:space="preserve">COMPOSIÇÃO DO BDI </t>
  </si>
  <si>
    <t>CUSTO TOTAL DO SERVIÇO (R$)</t>
  </si>
  <si>
    <t>DISCRIMINAÇÃO</t>
  </si>
  <si>
    <t>VALOR</t>
  </si>
  <si>
    <t>TAXA (%)</t>
  </si>
  <si>
    <t>OBSERVAÇÃO</t>
  </si>
  <si>
    <t>SITUAÇÃO DO INTERVALO ADMISSÍVEL</t>
  </si>
  <si>
    <t>PARCELAS DO BDI (%)</t>
  </si>
  <si>
    <t>1 QUARTIL</t>
  </si>
  <si>
    <t>MÉDIO</t>
  </si>
  <si>
    <t>3 QUARTIL</t>
  </si>
  <si>
    <t>AC – ADMINISTRAÇÃO CENTRAL</t>
  </si>
  <si>
    <t>SG – SEGUROS + GARANTIA</t>
  </si>
  <si>
    <t>R – RISCOS</t>
  </si>
  <si>
    <t>DF – DESPESAS FINANCEIRAS</t>
  </si>
  <si>
    <t>L – LUCRO BRUTO</t>
  </si>
  <si>
    <t>I – IMPOSTOS</t>
  </si>
  <si>
    <t>FÓRMULA DO BDI DE ACORDO COM ACÓRDÃO 2.369/2011-TCU- PLENÁRIO</t>
  </si>
  <si>
    <t>PIS</t>
  </si>
  <si>
    <t>COFINS</t>
  </si>
  <si>
    <t>ISS (CONFORME LEGISLAÇÃO MUNICIPAL)</t>
  </si>
  <si>
    <t>CONTRIB. PREVIDÊNCIA SOBRE RECEITA BRUTA – CPRB</t>
  </si>
  <si>
    <t>TOTAL DO BDI (R$)</t>
  </si>
  <si>
    <t>PREÇO DE VENDA (R$)</t>
  </si>
  <si>
    <t>ONDE:</t>
  </si>
  <si>
    <t>BDI (%)</t>
  </si>
  <si>
    <t>AC : TAXA DE ADMINISTRAÇÃO CENTRAL</t>
  </si>
  <si>
    <t>S: TAXA DE SEGURO</t>
  </si>
  <si>
    <t>Parâmetros do Acórdão 2.622/2013 - Plenário</t>
  </si>
  <si>
    <t>G: TAXA DE GARANTIAS</t>
  </si>
  <si>
    <t>Sem CPRB</t>
  </si>
  <si>
    <t>R: TAXA DE RISCOS</t>
  </si>
  <si>
    <t>Com CPRB</t>
  </si>
  <si>
    <t>DF: TAXA DE DESPESAS</t>
  </si>
  <si>
    <t>L: TAXA DE LUCRO</t>
  </si>
  <si>
    <t>I: TAXA DE INCIDÊNCIA DE IMPOSTOS (PIS, COFINS, ISS, CPRB)</t>
  </si>
  <si>
    <t>COMPOSIÇÃO DO BDI REDUZIDO</t>
  </si>
  <si>
    <t xml:space="preserve">OBS: Para o BDI reduzido, considerou-se nulo o ISS e uma parcela reduzida para administração central e lucro para remunerar os custos inerentes às aquisições e armazenamento por parte da empresa contratada, por isso o valor da taxa de BDI é menor do que a que foi adotada para o restante do orçamento da obra.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</si>
</sst>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9">
    <numFmt numFmtId="164" formatCode="0.000%"/>
    <numFmt numFmtId="165" formatCode="[$R$ -416]#,##0.00"/>
    <numFmt numFmtId="166" formatCode="[$R$-416]\ #,##0.00;[RED]\-[$R$-416]\ #,##0.00"/>
    <numFmt numFmtId="167" formatCode="\ * #,##0.00\ ;\-* #,##0.00\ ;\ * \-#\ ;\ @\ "/>
    <numFmt numFmtId="168" formatCode="[$R$-416]\ #,##0.00;[Red]\-[$R$-416]\ #,##0.00"/>
    <numFmt numFmtId="169" formatCode="dd/mm/yyyy"/>
    <numFmt numFmtId="170" formatCode="0.0%"/>
    <numFmt numFmtId="171" formatCode="&quot; R$ &quot;* #,##0.00\ ;&quot;-R$ &quot;* #,##0.00\ ;&quot; R$ &quot;* \-#\ ;\ @"/>
    <numFmt numFmtId="172" formatCode="D\.M"/>
  </numFmts>
  <fonts count="35">
    <font>
      <sz val="10.0"/>
      <color rgb="FF000000"/>
      <name val="Arial"/>
      <scheme val="minor"/>
    </font>
    <font>
      <sz val="10.0"/>
      <color rgb="FF000000"/>
      <name val="Calibri"/>
    </font>
    <font/>
    <font>
      <b/>
      <sz val="10.0"/>
      <color rgb="FF000000"/>
      <name val="Calibri"/>
    </font>
    <font>
      <b/>
      <sz val="10.0"/>
      <color rgb="FF345168"/>
      <name val="Calibri"/>
    </font>
    <font>
      <b/>
      <sz val="10.0"/>
      <color rgb="FFFFFFFF"/>
      <name val="Calibri"/>
    </font>
    <font>
      <sz val="9.0"/>
      <color rgb="FF000000"/>
      <name val="Calibri"/>
    </font>
    <font>
      <b/>
      <i/>
      <sz val="10.0"/>
      <color rgb="FF000000"/>
      <name val="Calibri"/>
    </font>
    <font>
      <i/>
      <sz val="10.0"/>
      <color theme="1"/>
      <name val="Calibri"/>
    </font>
    <font>
      <sz val="10.0"/>
      <color theme="1"/>
      <name val="Calibri"/>
    </font>
    <font>
      <sz val="9.0"/>
      <color theme="1"/>
      <name val="Calibri"/>
    </font>
    <font>
      <b/>
      <sz val="10.0"/>
      <color rgb="FF005BAA"/>
      <name val="Calibri"/>
    </font>
    <font>
      <i/>
      <color theme="1"/>
      <name val="Calibri"/>
    </font>
    <font>
      <color theme="1"/>
      <name val="Calibri"/>
    </font>
    <font>
      <b/>
      <color theme="1"/>
      <name val="Calibri"/>
    </font>
    <font>
      <color theme="1"/>
      <name val="Arial"/>
    </font>
    <font>
      <b/>
      <i/>
      <sz val="10.0"/>
      <color theme="1"/>
      <name val="Calibri"/>
    </font>
    <font>
      <b/>
      <sz val="10.0"/>
      <color theme="1"/>
      <name val="Calibri"/>
    </font>
    <font>
      <i/>
      <sz val="10.0"/>
      <color rgb="FF000000"/>
      <name val="Calibri"/>
    </font>
    <font>
      <color theme="1"/>
      <name val="Arial"/>
      <scheme val="minor"/>
    </font>
    <font>
      <b/>
      <color rgb="FF345168"/>
      <name val="Calibri"/>
    </font>
    <font>
      <b/>
      <sz val="14.0"/>
      <color rgb="FFFFFFFF"/>
      <name val="Calibri"/>
    </font>
    <font>
      <sz val="11.0"/>
      <color rgb="FF000000"/>
      <name val="Calibri"/>
    </font>
    <font>
      <b/>
      <sz val="12.0"/>
      <color rgb="FF000000"/>
      <name val="Calibri"/>
    </font>
    <font>
      <sz val="8.0"/>
      <color rgb="FF333333"/>
      <name val="Arial"/>
    </font>
    <font>
      <u/>
      <sz val="10.0"/>
      <color theme="1"/>
      <name val="Calibri"/>
    </font>
    <font>
      <u/>
      <sz val="10.0"/>
      <color theme="1"/>
      <name val="Calibri"/>
    </font>
    <font>
      <sz val="10.0"/>
      <color rgb="FF345168"/>
      <name val="Calibri"/>
    </font>
    <font>
      <sz val="8.0"/>
      <color rgb="FF000000"/>
      <name val="Calibri"/>
    </font>
    <font>
      <sz val="10.0"/>
      <color rgb="FF000000"/>
      <name val="Arial"/>
    </font>
    <font>
      <sz val="12.0"/>
      <color rgb="FF000000"/>
      <name val="Calibri"/>
    </font>
    <font>
      <b/>
      <sz val="8.0"/>
      <color rgb="FF000000"/>
      <name val="Calibri"/>
    </font>
    <font>
      <sz val="8.0"/>
      <color rgb="FF000000"/>
      <name val="Arial"/>
    </font>
    <font>
      <b/>
      <sz val="8.0"/>
      <color rgb="FF000000"/>
      <name val="Arial"/>
    </font>
    <font>
      <b/>
      <sz val="11.0"/>
      <color rgb="FF000000"/>
      <name val="Calibri"/>
    </font>
  </fonts>
  <fills count="10">
    <fill>
      <patternFill patternType="none"/>
    </fill>
    <fill>
      <patternFill patternType="lightGray"/>
    </fill>
    <fill>
      <patternFill patternType="solid">
        <fgColor rgb="FF345168"/>
        <bgColor rgb="FF345168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B4C7DC"/>
        <bgColor rgb="FFB4C7DC"/>
      </patternFill>
    </fill>
    <fill>
      <patternFill patternType="solid">
        <fgColor rgb="FFC9DAF8"/>
        <bgColor rgb="FFC9DAF8"/>
      </patternFill>
    </fill>
    <fill>
      <patternFill patternType="solid">
        <fgColor rgb="FFF3F3F3"/>
        <bgColor rgb="FFF3F3F3"/>
      </patternFill>
    </fill>
    <fill>
      <patternFill patternType="solid">
        <fgColor rgb="FFD9D9D9"/>
        <bgColor rgb="FFD9D9D9"/>
      </patternFill>
    </fill>
  </fills>
  <borders count="33">
    <border/>
    <border>
      <left/>
      <top/>
      <bottom/>
    </border>
    <border>
      <top/>
      <bottom/>
    </border>
    <border>
      <left style="thin">
        <color rgb="FFFFFFFF"/>
      </lef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top style="thin">
        <color rgb="FFFFFFFF"/>
      </top>
      <bottom style="thin">
        <color rgb="FFFFFFFF"/>
      </bottom>
    </border>
    <border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FFFFFF"/>
      </left>
      <bottom style="thin">
        <color rgb="FFFFFFFF"/>
      </bottom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FFFFFF"/>
      </bottom>
    </border>
    <border>
      <left/>
      <right/>
      <top/>
      <bottom/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365">
    <xf borderId="0" fillId="0" fontId="0" numFmtId="0" xfId="0" applyAlignment="1" applyFont="1">
      <alignment readingOrder="0" shrinkToFit="0" vertical="bottom" wrapText="0"/>
    </xf>
    <xf borderId="1" fillId="2" fontId="1" numFmtId="49" xfId="0" applyAlignment="1" applyBorder="1" applyFill="1" applyFont="1" applyNumberFormat="1">
      <alignment horizontal="center" shrinkToFit="0" vertical="center" wrapText="0"/>
    </xf>
    <xf borderId="2" fillId="0" fontId="2" numFmtId="0" xfId="0" applyBorder="1" applyFont="1"/>
    <xf borderId="0" fillId="0" fontId="3" numFmtId="0" xfId="0" applyAlignment="1" applyFont="1">
      <alignment shrinkToFit="0" vertical="bottom" wrapText="0"/>
    </xf>
    <xf borderId="0" fillId="0" fontId="1" numFmtId="0" xfId="0" applyAlignment="1" applyFont="1">
      <alignment shrinkToFit="0" vertical="bottom" wrapText="0"/>
    </xf>
    <xf borderId="0" fillId="0" fontId="1" numFmtId="164" xfId="0" applyAlignment="1" applyFont="1" applyNumberFormat="1">
      <alignment shrinkToFit="0" vertical="bottom" wrapText="0"/>
    </xf>
    <xf borderId="0" fillId="0" fontId="1" numFmtId="49" xfId="0" applyAlignment="1" applyFont="1" applyNumberFormat="1">
      <alignment horizontal="center" shrinkToFit="0" vertical="center" wrapText="0"/>
    </xf>
    <xf borderId="0" fillId="0" fontId="1" numFmtId="49" xfId="0" applyAlignment="1" applyFont="1" applyNumberFormat="1">
      <alignment shrinkToFit="0" vertical="bottom" wrapText="0"/>
    </xf>
    <xf borderId="0" fillId="3" fontId="1" numFmtId="49" xfId="0" applyAlignment="1" applyFill="1" applyFont="1" applyNumberFormat="1">
      <alignment shrinkToFit="0" vertical="bottom" wrapText="0"/>
    </xf>
    <xf borderId="0" fillId="0" fontId="3" numFmtId="165" xfId="0" applyAlignment="1" applyFont="1" applyNumberFormat="1">
      <alignment shrinkToFit="0" vertical="bottom" wrapText="0"/>
    </xf>
    <xf borderId="0" fillId="0" fontId="1" numFmtId="49" xfId="0" applyAlignment="1" applyFont="1" applyNumberFormat="1">
      <alignment horizontal="center" shrinkToFit="0" vertical="bottom" wrapText="0"/>
    </xf>
    <xf borderId="3" fillId="4" fontId="1" numFmtId="49" xfId="0" applyAlignment="1" applyBorder="1" applyFill="1" applyFont="1" applyNumberFormat="1">
      <alignment horizontal="center" shrinkToFit="0" vertical="center" wrapText="1"/>
    </xf>
    <xf borderId="4" fillId="0" fontId="2" numFmtId="0" xfId="0" applyBorder="1" applyFont="1"/>
    <xf borderId="5" fillId="4" fontId="4" numFmtId="0" xfId="0" applyAlignment="1" applyBorder="1" applyFont="1">
      <alignment horizontal="center" shrinkToFit="0" vertical="center" wrapText="1"/>
    </xf>
    <xf borderId="6" fillId="0" fontId="2" numFmtId="0" xfId="0" applyBorder="1" applyFont="1"/>
    <xf borderId="7" fillId="0" fontId="2" numFmtId="0" xfId="0" applyBorder="1" applyFont="1"/>
    <xf borderId="0" fillId="0" fontId="1" numFmtId="0" xfId="0" applyAlignment="1" applyFont="1">
      <alignment horizontal="center" shrinkToFit="0" vertical="bottom" wrapText="0"/>
    </xf>
    <xf borderId="8" fillId="0" fontId="2" numFmtId="0" xfId="0" applyBorder="1" applyFont="1"/>
    <xf borderId="9" fillId="0" fontId="2" numFmtId="0" xfId="0" applyBorder="1" applyFont="1"/>
    <xf borderId="5" fillId="4" fontId="1" numFmtId="0" xfId="0" applyAlignment="1" applyBorder="1" applyFont="1">
      <alignment horizontal="center" shrinkToFit="0" vertical="center" wrapText="1"/>
    </xf>
    <xf borderId="10" fillId="4" fontId="1" numFmtId="0" xfId="0" applyAlignment="1" applyBorder="1" applyFont="1">
      <alignment horizontal="center" shrinkToFit="0" vertical="center" wrapText="1"/>
    </xf>
    <xf borderId="11" fillId="5" fontId="1" numFmtId="166" xfId="0" applyAlignment="1" applyBorder="1" applyFill="1" applyFont="1" applyNumberFormat="1">
      <alignment horizontal="right" shrinkToFit="0" vertical="bottom" wrapText="0"/>
    </xf>
    <xf borderId="11" fillId="5" fontId="1" numFmtId="10" xfId="0" applyAlignment="1" applyBorder="1" applyFont="1" applyNumberFormat="1">
      <alignment horizontal="right" shrinkToFit="0" vertical="bottom" wrapText="0"/>
    </xf>
    <xf borderId="10" fillId="4" fontId="4" numFmtId="0" xfId="0" applyAlignment="1" applyBorder="1" applyFont="1">
      <alignment horizontal="center" shrinkToFit="0" vertical="center" wrapText="1"/>
    </xf>
    <xf borderId="11" fillId="5" fontId="3" numFmtId="166" xfId="0" applyAlignment="1" applyBorder="1" applyFont="1" applyNumberFormat="1">
      <alignment horizontal="right" shrinkToFit="0" vertical="bottom" wrapText="0"/>
    </xf>
    <xf borderId="12" fillId="0" fontId="2" numFmtId="0" xfId="0" applyBorder="1" applyFont="1"/>
    <xf borderId="13" fillId="0" fontId="2" numFmtId="0" xfId="0" applyBorder="1" applyFont="1"/>
    <xf borderId="5" fillId="4" fontId="1" numFmtId="0" xfId="0" applyAlignment="1" applyBorder="1" applyFont="1">
      <alignment horizontal="center" readingOrder="0" shrinkToFit="0" vertical="center" wrapText="1"/>
    </xf>
    <xf borderId="14" fillId="0" fontId="1" numFmtId="49" xfId="0" applyAlignment="1" applyBorder="1" applyFont="1" applyNumberFormat="1">
      <alignment horizontal="center" shrinkToFit="0" vertical="center" wrapText="0"/>
    </xf>
    <xf borderId="0" fillId="3" fontId="1" numFmtId="0" xfId="0" applyAlignment="1" applyFont="1">
      <alignment shrinkToFit="0" vertical="bottom" wrapText="0"/>
    </xf>
    <xf borderId="14" fillId="0" fontId="3" numFmtId="165" xfId="0" applyAlignment="1" applyBorder="1" applyFont="1" applyNumberFormat="1">
      <alignment horizontal="center" shrinkToFit="0" vertical="center" wrapText="0"/>
    </xf>
    <xf borderId="15" fillId="2" fontId="5" numFmtId="49" xfId="0" applyAlignment="1" applyBorder="1" applyFont="1" applyNumberFormat="1">
      <alignment horizontal="center" shrinkToFit="0" vertical="center" wrapText="0"/>
    </xf>
    <xf borderId="15" fillId="2" fontId="5" numFmtId="0" xfId="0" applyAlignment="1" applyBorder="1" applyFont="1">
      <alignment horizontal="center" shrinkToFit="0" vertical="center" wrapText="0"/>
    </xf>
    <xf borderId="16" fillId="2" fontId="5" numFmtId="165" xfId="0" applyAlignment="1" applyBorder="1" applyFont="1" applyNumberFormat="1">
      <alignment horizontal="center" shrinkToFit="0" vertical="center" wrapText="0"/>
    </xf>
    <xf borderId="17" fillId="0" fontId="2" numFmtId="0" xfId="0" applyBorder="1" applyFont="1"/>
    <xf borderId="18" fillId="0" fontId="2" numFmtId="0" xfId="0" applyBorder="1" applyFont="1"/>
    <xf borderId="16" fillId="2" fontId="5" numFmtId="0" xfId="0" applyAlignment="1" applyBorder="1" applyFont="1">
      <alignment horizontal="center" shrinkToFit="0" vertical="center" wrapText="0"/>
    </xf>
    <xf borderId="15" fillId="2" fontId="5" numFmtId="0" xfId="0" applyAlignment="1" applyBorder="1" applyFont="1">
      <alignment horizontal="center" shrinkToFit="0" vertical="center" wrapText="1"/>
    </xf>
    <xf borderId="0" fillId="0" fontId="3" numFmtId="0" xfId="0" applyAlignment="1" applyFont="1">
      <alignment horizontal="center" shrinkToFit="0" vertical="center" wrapText="0"/>
    </xf>
    <xf borderId="0" fillId="0" fontId="1" numFmtId="0" xfId="0" applyAlignment="1" applyFont="1">
      <alignment horizontal="center" shrinkToFit="0" vertical="center" wrapText="0"/>
    </xf>
    <xf borderId="0" fillId="0" fontId="1" numFmtId="164" xfId="0" applyAlignment="1" applyFont="1" applyNumberFormat="1">
      <alignment horizontal="center" shrinkToFit="0" vertical="center" wrapText="0"/>
    </xf>
    <xf borderId="19" fillId="0" fontId="2" numFmtId="0" xfId="0" applyBorder="1" applyFont="1"/>
    <xf borderId="11" fillId="2" fontId="5" numFmtId="165" xfId="0" applyAlignment="1" applyBorder="1" applyFont="1" applyNumberFormat="1">
      <alignment horizontal="center" shrinkToFit="0" vertical="center" wrapText="0"/>
    </xf>
    <xf borderId="11" fillId="2" fontId="5" numFmtId="0" xfId="0" applyAlignment="1" applyBorder="1" applyFont="1">
      <alignment horizontal="center" shrinkToFit="0" vertical="center" wrapText="0"/>
    </xf>
    <xf borderId="16" fillId="0" fontId="1" numFmtId="49" xfId="0" applyAlignment="1" applyBorder="1" applyFont="1" applyNumberFormat="1">
      <alignment horizontal="center" shrinkToFit="0" vertical="center" wrapText="0"/>
    </xf>
    <xf borderId="20" fillId="6" fontId="3" numFmtId="49" xfId="0" applyAlignment="1" applyBorder="1" applyFill="1" applyFont="1" applyNumberFormat="1">
      <alignment horizontal="center" shrinkToFit="0" vertical="center" wrapText="1"/>
    </xf>
    <xf borderId="21" fillId="6" fontId="6" numFmtId="49" xfId="0" applyAlignment="1" applyBorder="1" applyFont="1" applyNumberFormat="1">
      <alignment horizontal="left" shrinkToFit="0" vertical="center" wrapText="1"/>
    </xf>
    <xf borderId="22" fillId="6" fontId="7" numFmtId="49" xfId="0" applyAlignment="1" applyBorder="1" applyFont="1" applyNumberFormat="1">
      <alignment horizontal="center" shrinkToFit="0" vertical="center" wrapText="1"/>
    </xf>
    <xf borderId="16" fillId="6" fontId="3" numFmtId="0" xfId="0" applyAlignment="1" applyBorder="1" applyFont="1">
      <alignment horizontal="left" shrinkToFit="0" vertical="center" wrapText="1"/>
    </xf>
    <xf borderId="11" fillId="6" fontId="3" numFmtId="166" xfId="0" applyAlignment="1" applyBorder="1" applyFont="1" applyNumberFormat="1">
      <alignment horizontal="center" shrinkToFit="0" vertical="center" wrapText="1"/>
    </xf>
    <xf borderId="0" fillId="0" fontId="3" numFmtId="166" xfId="0" applyAlignment="1" applyFont="1" applyNumberFormat="1">
      <alignment shrinkToFit="0" vertical="center" wrapText="1"/>
    </xf>
    <xf borderId="0" fillId="0" fontId="3" numFmtId="0" xfId="0" applyAlignment="1" applyFont="1">
      <alignment shrinkToFit="0" vertical="center" wrapText="1"/>
    </xf>
    <xf borderId="0" fillId="0" fontId="3" numFmtId="164" xfId="0" applyAlignment="1" applyFont="1" applyNumberFormat="1">
      <alignment shrinkToFit="0" vertical="center" wrapText="1"/>
    </xf>
    <xf borderId="11" fillId="4" fontId="1" numFmtId="49" xfId="0" applyAlignment="1" applyBorder="1" applyFont="1" applyNumberFormat="1">
      <alignment horizontal="center" shrinkToFit="0" vertical="center" wrapText="1"/>
    </xf>
    <xf borderId="11" fillId="4" fontId="6" numFmtId="49" xfId="0" applyAlignment="1" applyBorder="1" applyFont="1" applyNumberFormat="1">
      <alignment horizontal="left" shrinkToFit="0" vertical="center" wrapText="1"/>
    </xf>
    <xf borderId="11" fillId="4" fontId="8" numFmtId="49" xfId="0" applyAlignment="1" applyBorder="1" applyFont="1" applyNumberFormat="1">
      <alignment horizontal="center" shrinkToFit="0" vertical="center" wrapText="1"/>
    </xf>
    <xf borderId="11" fillId="4" fontId="9" numFmtId="0" xfId="0" applyAlignment="1" applyBorder="1" applyFont="1">
      <alignment horizontal="left" shrinkToFit="0" vertical="center" wrapText="1"/>
    </xf>
    <xf borderId="11" fillId="3" fontId="1" numFmtId="2" xfId="0" applyAlignment="1" applyBorder="1" applyFont="1" applyNumberFormat="1">
      <alignment horizontal="center" shrinkToFit="0" vertical="center" wrapText="0"/>
    </xf>
    <xf borderId="11" fillId="3" fontId="9" numFmtId="165" xfId="0" applyAlignment="1" applyBorder="1" applyFont="1" applyNumberFormat="1">
      <alignment horizontal="center" vertical="center"/>
    </xf>
    <xf borderId="11" fillId="0" fontId="1" numFmtId="166" xfId="0" applyAlignment="1" applyBorder="1" applyFont="1" applyNumberFormat="1">
      <alignment horizontal="center" shrinkToFit="0" vertical="center" wrapText="1"/>
    </xf>
    <xf borderId="11" fillId="0" fontId="3" numFmtId="166" xfId="0" applyAlignment="1" applyBorder="1" applyFont="1" applyNumberFormat="1">
      <alignment horizontal="center" shrinkToFit="0" vertical="center" wrapText="1"/>
    </xf>
    <xf borderId="0" fillId="0" fontId="3" numFmtId="0" xfId="0" applyAlignment="1" applyFont="1">
      <alignment shrinkToFit="0" vertical="center" wrapText="0"/>
    </xf>
    <xf borderId="0" fillId="0" fontId="1" numFmtId="166" xfId="0" applyAlignment="1" applyFont="1" applyNumberFormat="1">
      <alignment shrinkToFit="0" vertical="center" wrapText="0"/>
    </xf>
    <xf borderId="0" fillId="0" fontId="1" numFmtId="164" xfId="0" applyAlignment="1" applyFont="1" applyNumberFormat="1">
      <alignment shrinkToFit="0" vertical="center" wrapText="0"/>
    </xf>
    <xf borderId="0" fillId="0" fontId="1" numFmtId="0" xfId="0" applyAlignment="1" applyFont="1">
      <alignment shrinkToFit="0" vertical="center" wrapText="0"/>
    </xf>
    <xf borderId="0" fillId="0" fontId="1" numFmtId="10" xfId="0" applyAlignment="1" applyFont="1" applyNumberFormat="1">
      <alignment shrinkToFit="0" vertical="bottom" wrapText="0"/>
    </xf>
    <xf borderId="0" fillId="0" fontId="9" numFmtId="0" xfId="0" applyAlignment="1" applyFont="1">
      <alignment shrinkToFit="0" vertical="bottom" wrapText="0"/>
    </xf>
    <xf quotePrefix="1" borderId="11" fillId="4" fontId="8" numFmtId="49" xfId="0" applyAlignment="1" applyBorder="1" applyFont="1" applyNumberFormat="1">
      <alignment horizontal="center" shrinkToFit="0" vertical="center" wrapText="1"/>
    </xf>
    <xf borderId="11" fillId="3" fontId="9" numFmtId="165" xfId="0" applyAlignment="1" applyBorder="1" applyFont="1" applyNumberFormat="1">
      <alignment horizontal="center"/>
    </xf>
    <xf borderId="11" fillId="4" fontId="3" numFmtId="166" xfId="0" applyAlignment="1" applyBorder="1" applyFont="1" applyNumberFormat="1">
      <alignment horizontal="center" shrinkToFit="0" vertical="center" wrapText="1"/>
    </xf>
    <xf borderId="16" fillId="6" fontId="3" numFmtId="49" xfId="0" applyAlignment="1" applyBorder="1" applyFont="1" applyNumberFormat="1">
      <alignment horizontal="center" shrinkToFit="0" vertical="center" wrapText="1"/>
    </xf>
    <xf borderId="17" fillId="6" fontId="6" numFmtId="49" xfId="0" applyAlignment="1" applyBorder="1" applyFont="1" applyNumberFormat="1">
      <alignment horizontal="left" shrinkToFit="0" vertical="center" wrapText="1"/>
    </xf>
    <xf borderId="18" fillId="6" fontId="7" numFmtId="49" xfId="0" applyAlignment="1" applyBorder="1" applyFont="1" applyNumberFormat="1">
      <alignment horizontal="center" shrinkToFit="0" vertical="center" wrapText="1"/>
    </xf>
    <xf borderId="11" fillId="6" fontId="3" numFmtId="0" xfId="0" applyAlignment="1" applyBorder="1" applyFont="1">
      <alignment horizontal="left" shrinkToFit="0" vertical="center" wrapText="1"/>
    </xf>
    <xf borderId="0" fillId="0" fontId="3" numFmtId="166" xfId="0" applyAlignment="1" applyFont="1" applyNumberFormat="1">
      <alignment shrinkToFit="0" vertical="bottom" wrapText="0"/>
    </xf>
    <xf borderId="20" fillId="5" fontId="3" numFmtId="49" xfId="0" applyAlignment="1" applyBorder="1" applyFont="1" applyNumberFormat="1">
      <alignment horizontal="center" shrinkToFit="0" vertical="center" wrapText="1"/>
    </xf>
    <xf borderId="21" fillId="5" fontId="6" numFmtId="49" xfId="0" applyAlignment="1" applyBorder="1" applyFont="1" applyNumberFormat="1">
      <alignment horizontal="left" shrinkToFit="0" vertical="center" wrapText="1"/>
    </xf>
    <xf borderId="22" fillId="5" fontId="7" numFmtId="49" xfId="0" applyAlignment="1" applyBorder="1" applyFont="1" applyNumberFormat="1">
      <alignment horizontal="center" shrinkToFit="0" vertical="center" wrapText="1"/>
    </xf>
    <xf borderId="16" fillId="5" fontId="3" numFmtId="0" xfId="0" applyAlignment="1" applyBorder="1" applyFont="1">
      <alignment horizontal="left" shrinkToFit="0" vertical="center" wrapText="1"/>
    </xf>
    <xf borderId="11" fillId="5" fontId="3" numFmtId="166" xfId="0" applyAlignment="1" applyBorder="1" applyFont="1" applyNumberFormat="1">
      <alignment horizontal="center" shrinkToFit="0" vertical="center" wrapText="1"/>
    </xf>
    <xf quotePrefix="1" borderId="11" fillId="0" fontId="1" numFmtId="49" xfId="0" applyAlignment="1" applyBorder="1" applyFont="1" applyNumberFormat="1">
      <alignment horizontal="center" shrinkToFit="0" vertical="center" wrapText="1"/>
    </xf>
    <xf borderId="11" fillId="0" fontId="6" numFmtId="49" xfId="0" applyAlignment="1" applyBorder="1" applyFont="1" applyNumberFormat="1">
      <alignment horizontal="left" shrinkToFit="0" vertical="center" wrapText="1"/>
    </xf>
    <xf quotePrefix="1" borderId="11" fillId="0" fontId="8" numFmtId="0" xfId="0" applyAlignment="1" applyBorder="1" applyFont="1">
      <alignment horizontal="center" shrinkToFit="0" vertical="center" wrapText="1"/>
    </xf>
    <xf borderId="11" fillId="0" fontId="9" numFmtId="0" xfId="0" applyAlignment="1" applyBorder="1" applyFont="1">
      <alignment horizontal="left" shrinkToFit="0" vertical="center" wrapText="1"/>
    </xf>
    <xf borderId="11" fillId="0" fontId="1" numFmtId="49" xfId="0" applyAlignment="1" applyBorder="1" applyFont="1" applyNumberFormat="1">
      <alignment horizontal="center" shrinkToFit="0" vertical="center" wrapText="1"/>
    </xf>
    <xf borderId="11" fillId="0" fontId="8" numFmtId="0" xfId="0" applyAlignment="1" applyBorder="1" applyFont="1">
      <alignment horizontal="center" shrinkToFit="0" vertical="center" wrapText="1"/>
    </xf>
    <xf borderId="11" fillId="0" fontId="9" numFmtId="0" xfId="0" applyAlignment="1" applyBorder="1" applyFont="1">
      <alignment horizontal="left" shrinkToFit="0" wrapText="1"/>
    </xf>
    <xf borderId="11" fillId="0" fontId="9" numFmtId="49" xfId="0" applyAlignment="1" applyBorder="1" applyFont="1" applyNumberFormat="1">
      <alignment horizontal="center" shrinkToFit="0" vertical="center" wrapText="1"/>
    </xf>
    <xf borderId="11" fillId="3" fontId="1" numFmtId="2" xfId="0" applyAlignment="1" applyBorder="1" applyFont="1" applyNumberFormat="1">
      <alignment horizontal="center" shrinkToFit="0" vertical="center" wrapText="1"/>
    </xf>
    <xf borderId="0" fillId="0" fontId="1" numFmtId="166" xfId="0" applyAlignment="1" applyFont="1" applyNumberFormat="1">
      <alignment shrinkToFit="0" vertical="center" wrapText="1"/>
    </xf>
    <xf borderId="0" fillId="0" fontId="1" numFmtId="164" xfId="0" applyAlignment="1" applyFont="1" applyNumberFormat="1">
      <alignment shrinkToFit="0" vertical="center" wrapText="1"/>
    </xf>
    <xf borderId="0" fillId="0" fontId="1" numFmtId="0" xfId="0" applyAlignment="1" applyFont="1">
      <alignment shrinkToFit="0" vertical="center" wrapText="1"/>
    </xf>
    <xf borderId="0" fillId="0" fontId="1" numFmtId="0" xfId="0" applyAlignment="1" applyFont="1">
      <alignment shrinkToFit="0" vertical="bottom" wrapText="1"/>
    </xf>
    <xf borderId="11" fillId="3" fontId="1" numFmtId="49" xfId="0" applyAlignment="1" applyBorder="1" applyFont="1" applyNumberFormat="1">
      <alignment horizontal="center" shrinkToFit="0" vertical="center" wrapText="0"/>
    </xf>
    <xf borderId="11" fillId="3" fontId="10" numFmtId="0" xfId="0" applyAlignment="1" applyBorder="1" applyFont="1">
      <alignment horizontal="left" shrinkToFit="0" vertical="center" wrapText="1"/>
    </xf>
    <xf borderId="11" fillId="3" fontId="8" numFmtId="0" xfId="0" applyAlignment="1" applyBorder="1" applyFont="1">
      <alignment horizontal="center" shrinkToFit="0" vertical="center" wrapText="1"/>
    </xf>
    <xf borderId="11" fillId="3" fontId="1" numFmtId="0" xfId="0" applyAlignment="1" applyBorder="1" applyFont="1">
      <alignment horizontal="left" shrinkToFit="0" vertical="center" wrapText="1"/>
    </xf>
    <xf borderId="11" fillId="3" fontId="1" numFmtId="167" xfId="0" applyAlignment="1" applyBorder="1" applyFont="1" applyNumberFormat="1">
      <alignment horizontal="center" shrinkToFit="0" vertical="center" wrapText="0"/>
    </xf>
    <xf borderId="0" fillId="3" fontId="1" numFmtId="165" xfId="0" applyAlignment="1" applyFont="1" applyNumberFormat="1">
      <alignment horizontal="center" shrinkToFit="0" vertical="center" wrapText="0"/>
    </xf>
    <xf borderId="11" fillId="3" fontId="1" numFmtId="165" xfId="0" applyAlignment="1" applyBorder="1" applyFont="1" applyNumberFormat="1">
      <alignment horizontal="center" shrinkToFit="0" vertical="center" wrapText="0"/>
    </xf>
    <xf borderId="11" fillId="0" fontId="11" numFmtId="166" xfId="0" applyAlignment="1" applyBorder="1" applyFont="1" applyNumberFormat="1">
      <alignment horizontal="center" shrinkToFit="0" vertical="center" wrapText="1"/>
    </xf>
    <xf borderId="11" fillId="0" fontId="10" numFmtId="0" xfId="0" applyAlignment="1" applyBorder="1" applyFont="1">
      <alignment horizontal="left" shrinkToFit="0" vertical="center" wrapText="1"/>
    </xf>
    <xf borderId="11" fillId="0" fontId="1" numFmtId="0" xfId="0" applyAlignment="1" applyBorder="1" applyFont="1">
      <alignment horizontal="left" shrinkToFit="0" vertical="center" wrapText="1"/>
    </xf>
    <xf borderId="11" fillId="0" fontId="1" numFmtId="167" xfId="0" applyAlignment="1" applyBorder="1" applyFont="1" applyNumberFormat="1">
      <alignment horizontal="center" shrinkToFit="0" vertical="center" wrapText="0"/>
    </xf>
    <xf borderId="11" fillId="4" fontId="8" numFmtId="0" xfId="0" applyAlignment="1" applyBorder="1" applyFont="1">
      <alignment horizontal="center" shrinkToFit="0" vertical="center" wrapText="1"/>
    </xf>
    <xf borderId="11" fillId="3" fontId="10" numFmtId="49" xfId="0" applyAlignment="1" applyBorder="1" applyFont="1" applyNumberFormat="1">
      <alignment shrinkToFit="0" vertical="center" wrapText="1"/>
    </xf>
    <xf borderId="11" fillId="0" fontId="12" numFmtId="49" xfId="0" applyAlignment="1" applyBorder="1" applyFont="1" applyNumberFormat="1">
      <alignment horizontal="center" shrinkToFit="0" vertical="center" wrapText="1"/>
    </xf>
    <xf borderId="11" fillId="0" fontId="13" numFmtId="0" xfId="0" applyAlignment="1" applyBorder="1" applyFont="1">
      <alignment shrinkToFit="0" vertical="center" wrapText="1"/>
    </xf>
    <xf borderId="11" fillId="0" fontId="13" numFmtId="168" xfId="0" applyAlignment="1" applyBorder="1" applyFont="1" applyNumberFormat="1">
      <alignment horizontal="center" shrinkToFit="0" vertical="center" wrapText="1"/>
    </xf>
    <xf borderId="11" fillId="0" fontId="14" numFmtId="168" xfId="0" applyAlignment="1" applyBorder="1" applyFont="1" applyNumberFormat="1">
      <alignment horizontal="center" shrinkToFit="0" vertical="center" wrapText="1"/>
    </xf>
    <xf borderId="0" fillId="0" fontId="13" numFmtId="0" xfId="0" applyAlignment="1" applyFont="1">
      <alignment vertical="center"/>
    </xf>
    <xf borderId="0" fillId="0" fontId="13" numFmtId="164" xfId="0" applyAlignment="1" applyFont="1" applyNumberFormat="1">
      <alignment vertical="center"/>
    </xf>
    <xf borderId="11" fillId="6" fontId="3" numFmtId="49" xfId="0" applyAlignment="1" applyBorder="1" applyFont="1" applyNumberFormat="1">
      <alignment horizontal="center" shrinkToFit="0" vertical="center" wrapText="1"/>
    </xf>
    <xf borderId="11" fillId="6" fontId="6" numFmtId="49" xfId="0" applyAlignment="1" applyBorder="1" applyFont="1" applyNumberFormat="1">
      <alignment horizontal="left" shrinkToFit="0" vertical="center" wrapText="1"/>
    </xf>
    <xf borderId="11" fillId="6" fontId="7" numFmtId="49" xfId="0" applyAlignment="1" applyBorder="1" applyFont="1" applyNumberFormat="1">
      <alignment horizontal="center" shrinkToFit="0" vertical="center" wrapText="1"/>
    </xf>
    <xf borderId="11" fillId="5" fontId="3" numFmtId="49" xfId="0" applyAlignment="1" applyBorder="1" applyFont="1" applyNumberFormat="1">
      <alignment horizontal="center" shrinkToFit="0" vertical="center" wrapText="1"/>
    </xf>
    <xf borderId="11" fillId="5" fontId="6" numFmtId="49" xfId="0" applyAlignment="1" applyBorder="1" applyFont="1" applyNumberFormat="1">
      <alignment horizontal="left" shrinkToFit="0" vertical="center" wrapText="1"/>
    </xf>
    <xf borderId="11" fillId="5" fontId="7" numFmtId="49" xfId="0" applyAlignment="1" applyBorder="1" applyFont="1" applyNumberFormat="1">
      <alignment horizontal="center" shrinkToFit="0" vertical="center" wrapText="1"/>
    </xf>
    <xf borderId="0" fillId="0" fontId="15" numFmtId="49" xfId="0" applyAlignment="1" applyFont="1" applyNumberFormat="1">
      <alignment horizontal="center" vertical="center"/>
    </xf>
    <xf borderId="11" fillId="0" fontId="1" numFmtId="0" xfId="0" applyAlignment="1" applyBorder="1" applyFont="1">
      <alignment horizontal="center" shrinkToFit="0" vertical="center" wrapText="0"/>
    </xf>
    <xf borderId="11" fillId="3" fontId="1" numFmtId="0" xfId="0" applyAlignment="1" applyBorder="1" applyFont="1">
      <alignment horizontal="center" shrinkToFit="0" vertical="center" wrapText="0"/>
    </xf>
    <xf borderId="11" fillId="0" fontId="3" numFmtId="165" xfId="0" applyAlignment="1" applyBorder="1" applyFont="1" applyNumberFormat="1">
      <alignment horizontal="center" shrinkToFit="0" vertical="center" wrapText="0"/>
    </xf>
    <xf borderId="11" fillId="0" fontId="1" numFmtId="49" xfId="0" applyAlignment="1" applyBorder="1" applyFont="1" applyNumberFormat="1">
      <alignment horizontal="center" shrinkToFit="0" vertical="center" wrapText="0"/>
    </xf>
    <xf borderId="11" fillId="0" fontId="16" numFmtId="0" xfId="0" applyAlignment="1" applyBorder="1" applyFont="1">
      <alignment horizontal="center" shrinkToFit="0" vertical="center" wrapText="1"/>
    </xf>
    <xf borderId="11" fillId="0" fontId="17" numFmtId="0" xfId="0" applyAlignment="1" applyBorder="1" applyFont="1">
      <alignment horizontal="left" shrinkToFit="0" vertical="center" wrapText="1"/>
    </xf>
    <xf borderId="11" fillId="0" fontId="1" numFmtId="0" xfId="0" applyAlignment="1" applyBorder="1" applyFont="1">
      <alignment horizontal="center" shrinkToFit="0" vertical="center" wrapText="1"/>
    </xf>
    <xf borderId="11" fillId="4" fontId="1" numFmtId="2" xfId="0" applyAlignment="1" applyBorder="1" applyFont="1" applyNumberFormat="1">
      <alignment horizontal="center" shrinkToFit="0" vertical="center" wrapText="0"/>
    </xf>
    <xf borderId="11" fillId="4" fontId="10" numFmtId="0" xfId="0" applyAlignment="1" applyBorder="1" applyFont="1">
      <alignment horizontal="left" shrinkToFit="0" vertical="center" wrapText="1"/>
    </xf>
    <xf borderId="11" fillId="4" fontId="1" numFmtId="0" xfId="0" applyAlignment="1" applyBorder="1" applyFont="1">
      <alignment horizontal="left" shrinkToFit="0" vertical="center" wrapText="1"/>
    </xf>
    <xf borderId="11" fillId="4" fontId="1" numFmtId="167" xfId="0" applyAlignment="1" applyBorder="1" applyFont="1" applyNumberFormat="1">
      <alignment horizontal="center" shrinkToFit="0" vertical="center" wrapText="0"/>
    </xf>
    <xf borderId="17" fillId="0" fontId="1" numFmtId="0" xfId="0" applyAlignment="1" applyBorder="1" applyFont="1">
      <alignment horizontal="center" shrinkToFit="0" vertical="center" wrapText="0"/>
    </xf>
    <xf borderId="17" fillId="0" fontId="3" numFmtId="165" xfId="0" applyAlignment="1" applyBorder="1" applyFont="1" applyNumberFormat="1">
      <alignment horizontal="center" shrinkToFit="0" vertical="center" wrapText="0"/>
    </xf>
    <xf borderId="18" fillId="0" fontId="1" numFmtId="0" xfId="0" applyAlignment="1" applyBorder="1" applyFont="1">
      <alignment horizontal="center" shrinkToFit="0" vertical="center" wrapText="0"/>
    </xf>
    <xf borderId="0" fillId="0" fontId="3" numFmtId="0" xfId="0" applyAlignment="1" applyFont="1">
      <alignment shrinkToFit="0" vertical="bottom" wrapText="1"/>
    </xf>
    <xf borderId="11" fillId="6" fontId="6" numFmtId="0" xfId="0" applyAlignment="1" applyBorder="1" applyFont="1">
      <alignment horizontal="left" shrinkToFit="0" vertical="bottom" wrapText="1"/>
    </xf>
    <xf borderId="11" fillId="6" fontId="18" numFmtId="0" xfId="0" applyAlignment="1" applyBorder="1" applyFont="1">
      <alignment horizontal="center" shrinkToFit="0" vertical="center" wrapText="1"/>
    </xf>
    <xf borderId="11" fillId="6" fontId="1" numFmtId="0" xfId="0" applyAlignment="1" applyBorder="1" applyFont="1">
      <alignment horizontal="center" shrinkToFit="0" vertical="center" wrapText="0"/>
    </xf>
    <xf borderId="11" fillId="6" fontId="3" numFmtId="165" xfId="0" applyAlignment="1" applyBorder="1" applyFont="1" applyNumberFormat="1">
      <alignment horizontal="center" shrinkToFit="0" vertical="center" wrapText="0"/>
    </xf>
    <xf borderId="11" fillId="6" fontId="1" numFmtId="0" xfId="0" applyAlignment="1" applyBorder="1" applyFont="1">
      <alignment horizontal="center" shrinkToFit="0" vertical="bottom" wrapText="0"/>
    </xf>
    <xf borderId="11" fillId="6" fontId="3" numFmtId="166" xfId="0" applyAlignment="1" applyBorder="1" applyFont="1" applyNumberFormat="1">
      <alignment horizontal="center" shrinkToFit="0" vertical="bottom" wrapText="0"/>
    </xf>
    <xf borderId="0" fillId="0" fontId="1" numFmtId="2" xfId="0" applyAlignment="1" applyFont="1" applyNumberFormat="1">
      <alignment shrinkToFit="0" vertical="center" wrapText="0"/>
    </xf>
    <xf borderId="11" fillId="5" fontId="1" numFmtId="49" xfId="0" applyAlignment="1" applyBorder="1" applyFont="1" applyNumberFormat="1">
      <alignment horizontal="center" shrinkToFit="0" vertical="center" wrapText="1"/>
    </xf>
    <xf borderId="11" fillId="5" fontId="8" numFmtId="0" xfId="0" applyAlignment="1" applyBorder="1" applyFont="1">
      <alignment horizontal="center" shrinkToFit="0" vertical="center" wrapText="1"/>
    </xf>
    <xf borderId="11" fillId="5" fontId="9" numFmtId="0" xfId="0" applyAlignment="1" applyBorder="1" applyFont="1">
      <alignment horizontal="left" shrinkToFit="0" vertical="center" wrapText="1"/>
    </xf>
    <xf borderId="11" fillId="5" fontId="1" numFmtId="0" xfId="0" applyAlignment="1" applyBorder="1" applyFont="1">
      <alignment horizontal="center" shrinkToFit="0" vertical="center" wrapText="1"/>
    </xf>
    <xf borderId="11" fillId="5" fontId="1" numFmtId="2" xfId="0" applyAlignment="1" applyBorder="1" applyFont="1" applyNumberFormat="1">
      <alignment horizontal="center" shrinkToFit="0" vertical="center" wrapText="1"/>
    </xf>
    <xf borderId="11" fillId="5" fontId="9" numFmtId="165" xfId="0" applyAlignment="1" applyBorder="1" applyFont="1" applyNumberFormat="1">
      <alignment horizontal="center" vertical="center"/>
    </xf>
    <xf borderId="11" fillId="5" fontId="1" numFmtId="166" xfId="0" applyAlignment="1" applyBorder="1" applyFont="1" applyNumberFormat="1">
      <alignment horizontal="center" shrinkToFit="0" vertical="center" wrapText="1"/>
    </xf>
    <xf borderId="0" fillId="4" fontId="3" numFmtId="166" xfId="0" applyAlignment="1" applyFont="1" applyNumberFormat="1">
      <alignment shrinkToFit="0" vertical="center" wrapText="0"/>
    </xf>
    <xf borderId="0" fillId="4" fontId="1" numFmtId="166" xfId="0" applyAlignment="1" applyFont="1" applyNumberFormat="1">
      <alignment shrinkToFit="0" vertical="center" wrapText="0"/>
    </xf>
    <xf borderId="0" fillId="4" fontId="1" numFmtId="2" xfId="0" applyAlignment="1" applyFont="1" applyNumberFormat="1">
      <alignment shrinkToFit="0" vertical="center" wrapText="0"/>
    </xf>
    <xf borderId="0" fillId="4" fontId="1" numFmtId="0" xfId="0" applyAlignment="1" applyFont="1">
      <alignment shrinkToFit="0" vertical="center" wrapText="0"/>
    </xf>
    <xf borderId="11" fillId="4" fontId="6" numFmtId="0" xfId="0" applyAlignment="1" applyBorder="1" applyFont="1">
      <alignment horizontal="left" shrinkToFit="0" vertical="center" wrapText="1"/>
    </xf>
    <xf borderId="11" fillId="4" fontId="18" numFmtId="0" xfId="0" applyAlignment="1" applyBorder="1" applyFont="1">
      <alignment horizontal="center" shrinkToFit="0" vertical="center" wrapText="1"/>
    </xf>
    <xf borderId="11" fillId="4" fontId="1" numFmtId="0" xfId="0" applyAlignment="1" applyBorder="1" applyFont="1">
      <alignment shrinkToFit="0" vertical="center" wrapText="1"/>
    </xf>
    <xf borderId="11" fillId="3" fontId="6" numFmtId="0" xfId="0" applyAlignment="1" applyBorder="1" applyFont="1">
      <alignment horizontal="left" shrinkToFit="0" vertical="center" wrapText="1"/>
    </xf>
    <xf borderId="11" fillId="3" fontId="18" numFmtId="0" xfId="0" applyAlignment="1" applyBorder="1" applyFont="1">
      <alignment horizontal="center" shrinkToFit="0" vertical="center" wrapText="1"/>
    </xf>
    <xf borderId="11" fillId="3" fontId="1" numFmtId="0" xfId="0" applyAlignment="1" applyBorder="1" applyFont="1">
      <alignment shrinkToFit="0" vertical="center" wrapText="0"/>
    </xf>
    <xf borderId="11" fillId="3" fontId="1" numFmtId="0" xfId="0" applyAlignment="1" applyBorder="1" applyFont="1">
      <alignment horizontal="center" shrinkToFit="0" vertical="center" wrapText="1"/>
    </xf>
    <xf borderId="11" fillId="5" fontId="6" numFmtId="0" xfId="0" applyAlignment="1" applyBorder="1" applyFont="1">
      <alignment horizontal="left" shrinkToFit="0" vertical="center" wrapText="1"/>
    </xf>
    <xf borderId="11" fillId="5" fontId="18" numFmtId="0" xfId="0" applyAlignment="1" applyBorder="1" applyFont="1">
      <alignment horizontal="center" shrinkToFit="0" vertical="center" wrapText="1"/>
    </xf>
    <xf borderId="11" fillId="5" fontId="1" numFmtId="0" xfId="0" applyAlignment="1" applyBorder="1" applyFont="1">
      <alignment shrinkToFit="0" vertical="center" wrapText="1"/>
    </xf>
    <xf borderId="0" fillId="0" fontId="10" numFmtId="0" xfId="0" applyAlignment="1" applyFont="1">
      <alignment horizontal="left" shrinkToFit="0" vertical="center" wrapText="1"/>
    </xf>
    <xf borderId="0" fillId="0" fontId="13" numFmtId="0" xfId="0" applyAlignment="1" applyFont="1">
      <alignment horizontal="left" shrinkToFit="0" vertical="center" wrapText="1"/>
    </xf>
    <xf borderId="0" fillId="0" fontId="13" numFmtId="49" xfId="0" applyAlignment="1" applyFont="1" applyNumberFormat="1">
      <alignment vertical="center"/>
    </xf>
    <xf borderId="11" fillId="0" fontId="13" numFmtId="49" xfId="0" applyAlignment="1" applyBorder="1" applyFont="1" applyNumberFormat="1">
      <alignment horizontal="center" vertical="center"/>
    </xf>
    <xf borderId="11" fillId="4" fontId="13" numFmtId="49" xfId="0" applyAlignment="1" applyBorder="1" applyFont="1" applyNumberFormat="1">
      <alignment shrinkToFit="0" vertical="center" wrapText="1"/>
    </xf>
    <xf borderId="11" fillId="0" fontId="13" numFmtId="49" xfId="0" applyAlignment="1" applyBorder="1" applyFont="1" applyNumberFormat="1">
      <alignment horizontal="center" shrinkToFit="0" vertical="center" wrapText="1"/>
    </xf>
    <xf borderId="11" fillId="4" fontId="13" numFmtId="4" xfId="0" applyAlignment="1" applyBorder="1" applyFont="1" applyNumberFormat="1">
      <alignment horizontal="center" vertical="center"/>
    </xf>
    <xf borderId="11" fillId="4" fontId="13" numFmtId="165" xfId="0" applyAlignment="1" applyBorder="1" applyFont="1" applyNumberFormat="1">
      <alignment horizontal="center" vertical="center"/>
    </xf>
    <xf borderId="11" fillId="0" fontId="13" numFmtId="49" xfId="0" applyAlignment="1" applyBorder="1" applyFont="1" applyNumberFormat="1">
      <alignment vertical="center"/>
    </xf>
    <xf borderId="11" fillId="4" fontId="13" numFmtId="0" xfId="0" applyAlignment="1" applyBorder="1" applyFont="1">
      <alignment shrinkToFit="0" vertical="center" wrapText="1"/>
    </xf>
    <xf borderId="11" fillId="4" fontId="13" numFmtId="0" xfId="0" applyAlignment="1" applyBorder="1" applyFont="1">
      <alignment horizontal="center" vertical="center"/>
    </xf>
    <xf borderId="11" fillId="4" fontId="13" numFmtId="2" xfId="0" applyAlignment="1" applyBorder="1" applyFont="1" applyNumberFormat="1">
      <alignment horizontal="center" vertical="center"/>
    </xf>
    <xf borderId="11" fillId="3" fontId="3" numFmtId="166" xfId="0" applyAlignment="1" applyBorder="1" applyFont="1" applyNumberFormat="1">
      <alignment horizontal="center" shrinkToFit="0" vertical="center" wrapText="1"/>
    </xf>
    <xf borderId="11" fillId="0" fontId="18" numFmtId="0" xfId="0" applyAlignment="1" applyBorder="1" applyFont="1">
      <alignment horizontal="center" shrinkToFit="0" vertical="center" wrapText="1"/>
    </xf>
    <xf borderId="11" fillId="0" fontId="6" numFmtId="0" xfId="0" applyAlignment="1" applyBorder="1" applyFont="1">
      <alignment horizontal="left" shrinkToFit="0" vertical="center" wrapText="1"/>
    </xf>
    <xf borderId="11" fillId="3" fontId="1" numFmtId="0" xfId="0" applyAlignment="1" applyBorder="1" applyFont="1">
      <alignment shrinkToFit="0" vertical="center" wrapText="1"/>
    </xf>
    <xf borderId="11" fillId="3" fontId="1" numFmtId="166" xfId="0" applyAlignment="1" applyBorder="1" applyFont="1" applyNumberFormat="1">
      <alignment horizontal="center" shrinkToFit="0" vertical="center" wrapText="1"/>
    </xf>
    <xf borderId="0" fillId="3" fontId="3" numFmtId="0" xfId="0" applyAlignment="1" applyFont="1">
      <alignment shrinkToFit="0" vertical="center" wrapText="0"/>
    </xf>
    <xf borderId="0" fillId="3" fontId="1" numFmtId="166" xfId="0" applyAlignment="1" applyFont="1" applyNumberFormat="1">
      <alignment shrinkToFit="0" vertical="center" wrapText="0"/>
    </xf>
    <xf borderId="0" fillId="3" fontId="1" numFmtId="2" xfId="0" applyAlignment="1" applyFont="1" applyNumberFormat="1">
      <alignment shrinkToFit="0" vertical="center" wrapText="0"/>
    </xf>
    <xf borderId="0" fillId="3" fontId="1" numFmtId="0" xfId="0" applyAlignment="1" applyFont="1">
      <alignment shrinkToFit="0" vertical="center" wrapText="0"/>
    </xf>
    <xf borderId="0" fillId="0" fontId="3" numFmtId="166" xfId="0" applyAlignment="1" applyFont="1" applyNumberFormat="1">
      <alignment shrinkToFit="0" vertical="center" wrapText="0"/>
    </xf>
    <xf borderId="11" fillId="0" fontId="1" numFmtId="0" xfId="0" applyAlignment="1" applyBorder="1" applyFont="1">
      <alignment shrinkToFit="0" vertical="center" wrapText="1"/>
    </xf>
    <xf borderId="11" fillId="0" fontId="1" numFmtId="2" xfId="0" applyAlignment="1" applyBorder="1" applyFont="1" applyNumberFormat="1">
      <alignment horizontal="center" shrinkToFit="0" vertical="center" wrapText="0"/>
    </xf>
    <xf borderId="11" fillId="4" fontId="1" numFmtId="49" xfId="0" applyAlignment="1" applyBorder="1" applyFont="1" applyNumberFormat="1">
      <alignment horizontal="center" shrinkToFit="0" vertical="center" wrapText="0"/>
    </xf>
    <xf borderId="11" fillId="0" fontId="6" numFmtId="0" xfId="0" applyAlignment="1" applyBorder="1" applyFont="1">
      <alignment horizontal="left" shrinkToFit="0" vertical="bottom" wrapText="1"/>
    </xf>
    <xf borderId="11" fillId="0" fontId="1" numFmtId="0" xfId="0" applyAlignment="1" applyBorder="1" applyFont="1">
      <alignment shrinkToFit="0" vertical="bottom" wrapText="1"/>
    </xf>
    <xf borderId="11" fillId="3" fontId="9" numFmtId="0" xfId="0" applyAlignment="1" applyBorder="1" applyFont="1">
      <alignment horizontal="left" shrinkToFit="0" vertical="center" wrapText="1"/>
    </xf>
    <xf borderId="11" fillId="0" fontId="9" numFmtId="0" xfId="0" applyAlignment="1" applyBorder="1" applyFont="1">
      <alignment shrinkToFit="0" vertical="center" wrapText="1"/>
    </xf>
    <xf borderId="11" fillId="0" fontId="9" numFmtId="0" xfId="0" applyAlignment="1" applyBorder="1" applyFont="1">
      <alignment horizontal="center" shrinkToFit="0" vertical="center" wrapText="0"/>
    </xf>
    <xf borderId="11" fillId="3" fontId="9" numFmtId="2" xfId="0" applyAlignment="1" applyBorder="1" applyFont="1" applyNumberFormat="1">
      <alignment horizontal="center" shrinkToFit="0" vertical="center" wrapText="0"/>
    </xf>
    <xf borderId="16" fillId="2" fontId="1" numFmtId="49" xfId="0" applyAlignment="1" applyBorder="1" applyFont="1" applyNumberFormat="1">
      <alignment horizontal="center" shrinkToFit="0" vertical="center" wrapText="0"/>
    </xf>
    <xf borderId="0" fillId="0" fontId="6" numFmtId="0" xfId="0" applyAlignment="1" applyFont="1">
      <alignment horizontal="left" shrinkToFit="0" vertical="bottom" wrapText="1"/>
    </xf>
    <xf borderId="0" fillId="0" fontId="18" numFmtId="0" xfId="0" applyAlignment="1" applyFont="1">
      <alignment horizontal="center" shrinkToFit="0" vertical="center" wrapText="1"/>
    </xf>
    <xf borderId="0" fillId="3" fontId="1" numFmtId="2" xfId="0" applyAlignment="1" applyFont="1" applyNumberFormat="1">
      <alignment horizontal="center" shrinkToFit="0" vertical="center" wrapText="0"/>
    </xf>
    <xf borderId="0" fillId="0" fontId="3" numFmtId="165" xfId="0" applyAlignment="1" applyFont="1" applyNumberFormat="1">
      <alignment horizontal="center" shrinkToFit="0" vertical="center" wrapText="0"/>
    </xf>
    <xf borderId="0" fillId="2" fontId="13" numFmtId="49" xfId="0" applyAlignment="1" applyFont="1" applyNumberFormat="1">
      <alignment vertical="bottom"/>
    </xf>
    <xf borderId="0" fillId="0" fontId="1" numFmtId="2" xfId="0" applyAlignment="1" applyFont="1" applyNumberFormat="1">
      <alignment horizontal="center" shrinkToFit="0" vertical="bottom" wrapText="0"/>
    </xf>
    <xf borderId="0" fillId="0" fontId="13" numFmtId="49" xfId="0" applyAlignment="1" applyFont="1" applyNumberFormat="1">
      <alignment vertical="bottom"/>
    </xf>
    <xf borderId="10" fillId="4" fontId="1" numFmtId="49" xfId="0" applyAlignment="1" applyBorder="1" applyFont="1" applyNumberFormat="1">
      <alignment horizontal="center" shrinkToFit="0" vertical="center" wrapText="1"/>
    </xf>
    <xf borderId="10" fillId="0" fontId="13" numFmtId="0" xfId="0" applyBorder="1" applyFont="1"/>
    <xf borderId="10" fillId="0" fontId="13" numFmtId="0" xfId="0" applyAlignment="1" applyBorder="1" applyFont="1">
      <alignment vertical="bottom"/>
    </xf>
    <xf borderId="10" fillId="4" fontId="13" numFmtId="0" xfId="0" applyBorder="1" applyFont="1"/>
    <xf borderId="14" fillId="0" fontId="1" numFmtId="2" xfId="0" applyAlignment="1" applyBorder="1" applyFont="1" applyNumberFormat="1">
      <alignment horizontal="center" shrinkToFit="0" vertical="center" wrapText="0"/>
    </xf>
    <xf borderId="0" fillId="0" fontId="13" numFmtId="0" xfId="0" applyAlignment="1" applyFont="1">
      <alignment vertical="bottom"/>
    </xf>
    <xf borderId="0" fillId="2" fontId="13" numFmtId="0" xfId="0" applyAlignment="1" applyFont="1">
      <alignment vertical="bottom"/>
    </xf>
    <xf borderId="0" fillId="0" fontId="13" numFmtId="2" xfId="0" applyAlignment="1" applyFont="1" applyNumberFormat="1">
      <alignment vertical="bottom"/>
    </xf>
    <xf borderId="11" fillId="5" fontId="14" numFmtId="0" xfId="0" applyAlignment="1" applyBorder="1" applyFont="1">
      <alignment horizontal="center" shrinkToFit="0" wrapText="1"/>
    </xf>
    <xf borderId="17" fillId="5" fontId="14" numFmtId="0" xfId="0" applyAlignment="1" applyBorder="1" applyFont="1">
      <alignment horizontal="center" shrinkToFit="0" wrapText="1"/>
    </xf>
    <xf borderId="17" fillId="5" fontId="14" numFmtId="2" xfId="0" applyAlignment="1" applyBorder="1" applyFont="1" applyNumberFormat="1">
      <alignment horizontal="center" shrinkToFit="0" wrapText="1"/>
    </xf>
    <xf borderId="11" fillId="7" fontId="14" numFmtId="0" xfId="0" applyAlignment="1" applyBorder="1" applyFill="1" applyFont="1">
      <alignment horizontal="center" vertical="bottom"/>
    </xf>
    <xf borderId="11" fillId="7" fontId="13" numFmtId="0" xfId="0" applyAlignment="1" applyBorder="1" applyFont="1">
      <alignment vertical="bottom"/>
    </xf>
    <xf borderId="11" fillId="7" fontId="13" numFmtId="2" xfId="0" applyAlignment="1" applyBorder="1" applyFont="1" applyNumberFormat="1">
      <alignment vertical="bottom"/>
    </xf>
    <xf borderId="16" fillId="7" fontId="14" numFmtId="0" xfId="0" applyAlignment="1" applyBorder="1" applyFont="1">
      <alignment horizontal="center" vertical="bottom"/>
    </xf>
    <xf borderId="11" fillId="4" fontId="14" numFmtId="0" xfId="0" applyAlignment="1" applyBorder="1" applyFont="1">
      <alignment horizontal="center" shrinkToFit="0" wrapText="1"/>
    </xf>
    <xf borderId="11" fillId="0" fontId="14" numFmtId="0" xfId="0" applyAlignment="1" applyBorder="1" applyFont="1">
      <alignment horizontal="center" vertical="bottom"/>
    </xf>
    <xf borderId="11" fillId="0" fontId="14" numFmtId="2" xfId="0" applyAlignment="1" applyBorder="1" applyFont="1" applyNumberFormat="1">
      <alignment horizontal="center" vertical="bottom"/>
    </xf>
    <xf borderId="11" fillId="4" fontId="9" numFmtId="0" xfId="0" applyAlignment="1" applyBorder="1" applyFont="1">
      <alignment horizontal="center" shrinkToFit="0" vertical="center" wrapText="1"/>
    </xf>
    <xf borderId="11" fillId="0" fontId="9" numFmtId="0" xfId="0" applyAlignment="1" applyBorder="1" applyFont="1">
      <alignment horizontal="center" vertical="center"/>
    </xf>
    <xf borderId="11" fillId="0" fontId="9" numFmtId="0" xfId="0" applyAlignment="1" applyBorder="1" applyFont="1">
      <alignment horizontal="center" shrinkToFit="0" vertical="center" wrapText="1"/>
    </xf>
    <xf borderId="11" fillId="0" fontId="13" numFmtId="2" xfId="0" applyAlignment="1" applyBorder="1" applyFont="1" applyNumberFormat="1">
      <alignment horizontal="center" vertical="center"/>
    </xf>
    <xf borderId="11" fillId="0" fontId="9" numFmtId="165" xfId="0" applyAlignment="1" applyBorder="1" applyFont="1" applyNumberFormat="1">
      <alignment horizontal="center" vertical="center"/>
    </xf>
    <xf borderId="0" fillId="0" fontId="15" numFmtId="0" xfId="0" applyAlignment="1" applyFont="1">
      <alignment vertical="center"/>
    </xf>
    <xf borderId="16" fillId="0" fontId="13" numFmtId="2" xfId="0" applyAlignment="1" applyBorder="1" applyFont="1" applyNumberFormat="1">
      <alignment horizontal="right" vertical="bottom"/>
    </xf>
    <xf borderId="11" fillId="0" fontId="14" numFmtId="165" xfId="0" applyAlignment="1" applyBorder="1" applyFont="1" applyNumberFormat="1">
      <alignment horizontal="center" vertical="bottom"/>
    </xf>
    <xf borderId="0" fillId="0" fontId="15" numFmtId="2" xfId="0" applyFont="1" applyNumberFormat="1"/>
    <xf borderId="11" fillId="3" fontId="13" numFmtId="2" xfId="0" applyAlignment="1" applyBorder="1" applyFont="1" applyNumberFormat="1">
      <alignment horizontal="center" vertical="center"/>
    </xf>
    <xf borderId="11" fillId="3" fontId="9" numFmtId="0" xfId="0" applyAlignment="1" applyBorder="1" applyFont="1">
      <alignment horizontal="center" shrinkToFit="0" vertical="center" wrapText="1"/>
    </xf>
    <xf borderId="11" fillId="3" fontId="9" numFmtId="0" xfId="0" applyAlignment="1" applyBorder="1" applyFont="1">
      <alignment horizontal="center" vertical="center"/>
    </xf>
    <xf borderId="11" fillId="8" fontId="13" numFmtId="2" xfId="0" applyAlignment="1" applyBorder="1" applyFill="1" applyFont="1" applyNumberFormat="1">
      <alignment horizontal="center" vertical="center"/>
    </xf>
    <xf borderId="0" fillId="3" fontId="13" numFmtId="0" xfId="0" applyAlignment="1" applyFont="1">
      <alignment vertical="bottom"/>
    </xf>
    <xf borderId="0" fillId="3" fontId="15" numFmtId="0" xfId="0" applyFont="1"/>
    <xf borderId="17" fillId="5" fontId="14" numFmtId="0" xfId="0" applyAlignment="1" applyBorder="1" applyFont="1">
      <alignment horizontal="left" shrinkToFit="0" wrapText="1"/>
    </xf>
    <xf borderId="0" fillId="2" fontId="19" numFmtId="0" xfId="0" applyFont="1"/>
    <xf borderId="0" fillId="2" fontId="15" numFmtId="2" xfId="0" applyFont="1" applyNumberFormat="1"/>
    <xf borderId="1" fillId="2" fontId="1" numFmtId="49" xfId="0" applyAlignment="1" applyBorder="1" applyFont="1" applyNumberFormat="1">
      <alignment shrinkToFit="0" vertical="bottom" wrapText="0"/>
    </xf>
    <xf borderId="3" fillId="0" fontId="1" numFmtId="49" xfId="0" applyAlignment="1" applyBorder="1" applyFont="1" applyNumberFormat="1">
      <alignment horizontal="center" shrinkToFit="0" vertical="center" wrapText="1"/>
    </xf>
    <xf borderId="5" fillId="4" fontId="20" numFmtId="0" xfId="0" applyAlignment="1" applyBorder="1" applyFont="1">
      <alignment horizontal="center" shrinkToFit="0" wrapText="1"/>
    </xf>
    <xf borderId="12" fillId="4" fontId="13" numFmtId="0" xfId="0" applyAlignment="1" applyBorder="1" applyFont="1">
      <alignment horizontal="center" shrinkToFit="0" wrapText="1"/>
    </xf>
    <xf borderId="23" fillId="0" fontId="2" numFmtId="0" xfId="0" applyBorder="1" applyFont="1"/>
    <xf borderId="13" fillId="4" fontId="13" numFmtId="0" xfId="0" applyAlignment="1" applyBorder="1" applyFont="1">
      <alignment horizontal="center" shrinkToFit="0" wrapText="1"/>
    </xf>
    <xf borderId="12" fillId="4" fontId="20" numFmtId="0" xfId="0" applyAlignment="1" applyBorder="1" applyFont="1">
      <alignment horizontal="center" shrinkToFit="0" wrapText="1"/>
    </xf>
    <xf borderId="13" fillId="4" fontId="20" numFmtId="0" xfId="0" applyAlignment="1" applyBorder="1" applyFont="1">
      <alignment horizontal="center" shrinkToFit="0" wrapText="1"/>
    </xf>
    <xf borderId="0" fillId="0" fontId="13" numFmtId="0" xfId="0" applyFont="1"/>
    <xf borderId="12" fillId="4" fontId="13" numFmtId="0" xfId="0" applyAlignment="1" applyBorder="1" applyFont="1">
      <alignment horizontal="center" readingOrder="0" shrinkToFit="0" wrapText="1"/>
    </xf>
    <xf borderId="0" fillId="0" fontId="21" numFmtId="0" xfId="0" applyAlignment="1" applyFont="1">
      <alignment horizontal="center" shrinkToFit="0" vertical="bottom" wrapText="0"/>
    </xf>
    <xf borderId="1" fillId="2" fontId="21" numFmtId="0" xfId="0" applyAlignment="1" applyBorder="1" applyFont="1">
      <alignment horizontal="center" shrinkToFit="0" vertical="bottom" wrapText="0"/>
    </xf>
    <xf borderId="11" fillId="5" fontId="22" numFmtId="0" xfId="0" applyAlignment="1" applyBorder="1" applyFont="1">
      <alignment horizontal="center" shrinkToFit="0" vertical="bottom" wrapText="0"/>
    </xf>
    <xf borderId="16" fillId="5" fontId="22" numFmtId="0" xfId="0" applyAlignment="1" applyBorder="1" applyFont="1">
      <alignment horizontal="center" shrinkToFit="0" vertical="bottom" wrapText="0"/>
    </xf>
    <xf borderId="0" fillId="3" fontId="15" numFmtId="169" xfId="0" applyFont="1" applyNumberFormat="1"/>
    <xf borderId="11" fillId="0" fontId="1" numFmtId="0" xfId="0" applyAlignment="1" applyBorder="1" applyFont="1">
      <alignment shrinkToFit="0" vertical="bottom" wrapText="0"/>
    </xf>
    <xf borderId="16" fillId="0" fontId="22" numFmtId="0" xfId="0" applyAlignment="1" applyBorder="1" applyFont="1">
      <alignment horizontal="left" shrinkToFit="0" vertical="bottom" wrapText="0"/>
    </xf>
    <xf borderId="16" fillId="0" fontId="9" numFmtId="0" xfId="0" applyAlignment="1" applyBorder="1" applyFont="1">
      <alignment horizontal="center" shrinkToFit="0" vertical="bottom" wrapText="0"/>
    </xf>
    <xf borderId="16" fillId="0" fontId="9" numFmtId="0" xfId="0" applyAlignment="1" applyBorder="1" applyFont="1">
      <alignment horizontal="center" shrinkToFit="0" vertical="center" wrapText="1"/>
    </xf>
    <xf borderId="16" fillId="0" fontId="1" numFmtId="165" xfId="0" applyAlignment="1" applyBorder="1" applyFont="1" applyNumberFormat="1">
      <alignment horizontal="center" shrinkToFit="0" vertical="bottom" wrapText="0"/>
    </xf>
    <xf borderId="16" fillId="0" fontId="23" numFmtId="165" xfId="0" applyAlignment="1" applyBorder="1" applyFont="1" applyNumberFormat="1">
      <alignment horizontal="center" shrinkToFit="0" vertical="bottom" wrapText="0"/>
    </xf>
    <xf borderId="16" fillId="5" fontId="22" numFmtId="0" xfId="0" applyAlignment="1" applyBorder="1" applyFont="1">
      <alignment horizontal="left" shrinkToFit="0" vertical="bottom" wrapText="0"/>
    </xf>
    <xf borderId="0" fillId="0" fontId="24" numFmtId="0" xfId="0" applyAlignment="1" applyFont="1">
      <alignment shrinkToFit="0" vertical="bottom" wrapText="0"/>
    </xf>
    <xf borderId="16" fillId="0" fontId="25" numFmtId="0" xfId="0" applyAlignment="1" applyBorder="1" applyFont="1">
      <alignment horizontal="center" shrinkToFit="0" vertical="bottom" wrapText="1"/>
    </xf>
    <xf borderId="16" fillId="0" fontId="26" numFmtId="0" xfId="0" applyAlignment="1" applyBorder="1" applyFont="1">
      <alignment horizontal="center" shrinkToFit="0" vertical="center" wrapText="1"/>
    </xf>
    <xf borderId="16" fillId="5" fontId="1" numFmtId="0" xfId="0" applyAlignment="1" applyBorder="1" applyFont="1">
      <alignment horizontal="left" shrinkToFit="0" vertical="bottom" wrapText="0"/>
    </xf>
    <xf borderId="0" fillId="0" fontId="15" numFmtId="169" xfId="0" applyFont="1" applyNumberFormat="1"/>
    <xf borderId="11" fillId="0" fontId="1" numFmtId="0" xfId="0" applyAlignment="1" applyBorder="1" applyFont="1">
      <alignment shrinkToFit="0" vertical="center" wrapText="0"/>
    </xf>
    <xf borderId="0" fillId="3" fontId="15" numFmtId="0" xfId="0" applyAlignment="1" applyFont="1">
      <alignment vertical="center"/>
    </xf>
    <xf borderId="0" fillId="0" fontId="24" numFmtId="0" xfId="0" applyAlignment="1" applyFont="1">
      <alignment shrinkToFit="0" vertical="center" wrapText="0"/>
    </xf>
    <xf borderId="16" fillId="0" fontId="1" numFmtId="165" xfId="0" applyAlignment="1" applyBorder="1" applyFont="1" applyNumberFormat="1">
      <alignment horizontal="center" readingOrder="0" shrinkToFit="0" vertical="bottom" wrapText="0"/>
    </xf>
    <xf borderId="24" fillId="2" fontId="27" numFmtId="2" xfId="0" applyAlignment="1" applyBorder="1" applyFont="1" applyNumberFormat="1">
      <alignment horizontal="center" shrinkToFit="0" vertical="bottom" wrapText="1"/>
    </xf>
    <xf borderId="24" fillId="2" fontId="27" numFmtId="0" xfId="0" applyAlignment="1" applyBorder="1" applyFont="1">
      <alignment horizontal="center" shrinkToFit="0" vertical="bottom" wrapText="1"/>
    </xf>
    <xf borderId="0" fillId="0" fontId="27" numFmtId="2" xfId="0" applyAlignment="1" applyFont="1" applyNumberFormat="1">
      <alignment horizontal="center" shrinkToFit="0" vertical="bottom" wrapText="1"/>
    </xf>
    <xf borderId="0" fillId="0" fontId="27" numFmtId="0" xfId="0" applyAlignment="1" applyFont="1">
      <alignment horizontal="center" shrinkToFit="0" vertical="bottom" wrapText="1"/>
    </xf>
    <xf borderId="10" fillId="0" fontId="27" numFmtId="2" xfId="0" applyAlignment="1" applyBorder="1" applyFont="1" applyNumberFormat="1">
      <alignment horizontal="center" shrinkToFit="0" vertical="bottom" wrapText="1"/>
    </xf>
    <xf borderId="10" fillId="0" fontId="4" numFmtId="0" xfId="0" applyAlignment="1" applyBorder="1" applyFont="1">
      <alignment horizontal="center" shrinkToFit="0" vertical="center" wrapText="0"/>
    </xf>
    <xf borderId="10" fillId="0" fontId="1" numFmtId="0" xfId="0" applyAlignment="1" applyBorder="1" applyFont="1">
      <alignment shrinkToFit="0" vertical="bottom" wrapText="0"/>
    </xf>
    <xf borderId="10" fillId="0" fontId="27" numFmtId="0" xfId="0" applyAlignment="1" applyBorder="1" applyFont="1">
      <alignment horizontal="center" shrinkToFit="0" vertical="bottom" wrapText="1"/>
    </xf>
    <xf borderId="10" fillId="0" fontId="1" numFmtId="0" xfId="0" applyAlignment="1" applyBorder="1" applyFont="1">
      <alignment horizontal="center" shrinkToFit="0" vertical="center" wrapText="1"/>
    </xf>
    <xf borderId="10" fillId="0" fontId="4" numFmtId="0" xfId="0" applyAlignment="1" applyBorder="1" applyFont="1">
      <alignment horizontal="center" shrinkToFit="0" vertical="center" wrapText="1"/>
    </xf>
    <xf borderId="10" fillId="0" fontId="15" numFmtId="0" xfId="0" applyBorder="1" applyFont="1"/>
    <xf borderId="10" fillId="0" fontId="1" numFmtId="0" xfId="0" applyAlignment="1" applyBorder="1" applyFont="1">
      <alignment horizontal="center" shrinkToFit="0" vertical="bottom" wrapText="1"/>
    </xf>
    <xf borderId="16" fillId="2" fontId="5" numFmtId="0" xfId="0" applyAlignment="1" applyBorder="1" applyFont="1">
      <alignment horizontal="center" shrinkToFit="0" vertical="top" wrapText="1"/>
    </xf>
    <xf borderId="0" fillId="2" fontId="5" numFmtId="0" xfId="0" applyAlignment="1" applyFont="1">
      <alignment horizontal="center" shrinkToFit="0" vertical="top" wrapText="1"/>
    </xf>
    <xf borderId="24" fillId="2" fontId="5" numFmtId="0" xfId="0" applyAlignment="1" applyBorder="1" applyFont="1">
      <alignment horizontal="center" shrinkToFit="0" vertical="top" wrapText="1"/>
    </xf>
    <xf borderId="15" fillId="0" fontId="1" numFmtId="2" xfId="0" applyAlignment="1" applyBorder="1" applyFont="1" applyNumberFormat="1">
      <alignment shrinkToFit="0" vertical="bottom" wrapText="0"/>
    </xf>
    <xf borderId="15" fillId="0" fontId="1" numFmtId="0" xfId="0" applyAlignment="1" applyBorder="1" applyFont="1">
      <alignment shrinkToFit="0" vertical="center" wrapText="0"/>
    </xf>
    <xf borderId="11" fillId="0" fontId="1" numFmtId="0" xfId="0" applyAlignment="1" applyBorder="1" applyFont="1">
      <alignment horizontal="center" shrinkToFit="0" vertical="bottom" wrapText="0"/>
    </xf>
    <xf borderId="16" fillId="0" fontId="1" numFmtId="0" xfId="0" applyAlignment="1" applyBorder="1" applyFont="1">
      <alignment horizontal="center" shrinkToFit="0" vertical="bottom" wrapText="1"/>
    </xf>
    <xf borderId="0" fillId="0" fontId="1" numFmtId="0" xfId="0" applyAlignment="1" applyFont="1">
      <alignment horizontal="center" shrinkToFit="0" vertical="bottom" wrapText="1"/>
    </xf>
    <xf borderId="11" fillId="0" fontId="1" numFmtId="0" xfId="0" applyAlignment="1" applyBorder="1" applyFont="1">
      <alignment horizontal="center" shrinkToFit="0" vertical="top" wrapText="1"/>
    </xf>
    <xf borderId="0" fillId="0" fontId="1" numFmtId="0" xfId="0" applyAlignment="1" applyFont="1">
      <alignment horizontal="center" shrinkToFit="0" vertical="top" wrapText="1"/>
    </xf>
    <xf quotePrefix="1" borderId="11" fillId="0" fontId="1" numFmtId="0" xfId="0" applyAlignment="1" applyBorder="1" applyFont="1">
      <alignment horizontal="center" shrinkToFit="0" vertical="bottom" wrapText="0"/>
    </xf>
    <xf borderId="11" fillId="0" fontId="1" numFmtId="0" xfId="0" applyAlignment="1" applyBorder="1" applyFont="1">
      <alignment shrinkToFit="0" vertical="bottom" wrapText="0"/>
    </xf>
    <xf borderId="11" fillId="0" fontId="1" numFmtId="166" xfId="0" applyAlignment="1" applyBorder="1" applyFont="1" applyNumberFormat="1">
      <alignment horizontal="center" shrinkToFit="0" vertical="center" wrapText="0"/>
    </xf>
    <xf borderId="11" fillId="0" fontId="1" numFmtId="10" xfId="0" applyAlignment="1" applyBorder="1" applyFont="1" applyNumberFormat="1">
      <alignment horizontal="center" shrinkToFit="0" vertical="top" wrapText="0"/>
    </xf>
    <xf borderId="11" fillId="9" fontId="1" numFmtId="170" xfId="0" applyAlignment="1" applyBorder="1" applyFill="1" applyFont="1" applyNumberFormat="1">
      <alignment horizontal="right" shrinkToFit="0" vertical="bottom" wrapText="0"/>
    </xf>
    <xf borderId="11" fillId="0" fontId="1" numFmtId="171" xfId="0" applyAlignment="1" applyBorder="1" applyFont="1" applyNumberFormat="1">
      <alignment horizontal="right" shrinkToFit="0" vertical="bottom" wrapText="0"/>
    </xf>
    <xf borderId="11" fillId="9" fontId="1" numFmtId="10" xfId="0" applyAlignment="1" applyBorder="1" applyFont="1" applyNumberFormat="1">
      <alignment shrinkToFit="0" vertical="bottom" wrapText="0"/>
    </xf>
    <xf borderId="11" fillId="0" fontId="1" numFmtId="171" xfId="0" applyAlignment="1" applyBorder="1" applyFont="1" applyNumberFormat="1">
      <alignment horizontal="right" shrinkToFit="0" vertical="bottom" wrapText="1"/>
    </xf>
    <xf borderId="11" fillId="9" fontId="1" numFmtId="170" xfId="0" applyAlignment="1" applyBorder="1" applyFont="1" applyNumberFormat="1">
      <alignment shrinkToFit="0" vertical="bottom" wrapText="0"/>
    </xf>
    <xf borderId="0" fillId="0" fontId="1" numFmtId="10" xfId="0" applyAlignment="1" applyFont="1" applyNumberFormat="1">
      <alignment horizontal="right" shrinkToFit="0" vertical="bottom" wrapText="1"/>
    </xf>
    <xf borderId="0" fillId="0" fontId="15" numFmtId="0" xfId="0" applyFont="1"/>
    <xf borderId="11" fillId="0" fontId="1" numFmtId="0" xfId="0" applyAlignment="1" applyBorder="1" applyFont="1">
      <alignment horizontal="center" shrinkToFit="0" vertical="bottom" wrapText="0"/>
    </xf>
    <xf borderId="11" fillId="9" fontId="1" numFmtId="170" xfId="0" applyAlignment="1" applyBorder="1" applyFont="1" applyNumberFormat="1">
      <alignment horizontal="right" shrinkToFit="0" vertical="bottom" wrapText="1"/>
    </xf>
    <xf borderId="11" fillId="9" fontId="1" numFmtId="170" xfId="0" applyAlignment="1" applyBorder="1" applyFont="1" applyNumberFormat="1">
      <alignment shrinkToFit="0" vertical="top" wrapText="0"/>
    </xf>
    <xf borderId="11" fillId="0" fontId="28" numFmtId="0" xfId="0" applyAlignment="1" applyBorder="1" applyFont="1">
      <alignment shrinkToFit="0" vertical="bottom" wrapText="0"/>
    </xf>
    <xf borderId="17" fillId="9" fontId="1" numFmtId="170" xfId="0" applyAlignment="1" applyBorder="1" applyFont="1" applyNumberFormat="1">
      <alignment shrinkToFit="0" vertical="bottom" wrapText="0"/>
    </xf>
    <xf borderId="17" fillId="9" fontId="1" numFmtId="10" xfId="0" applyAlignment="1" applyBorder="1" applyFont="1" applyNumberFormat="1">
      <alignment shrinkToFit="0" vertical="bottom" wrapText="0"/>
    </xf>
    <xf borderId="16" fillId="0" fontId="1" numFmtId="2" xfId="0" applyAlignment="1" applyBorder="1" applyFont="1" applyNumberFormat="1">
      <alignment horizontal="center" shrinkToFit="0" vertical="bottom" wrapText="0"/>
    </xf>
    <xf borderId="17" fillId="0" fontId="1" numFmtId="49" xfId="0" applyAlignment="1" applyBorder="1" applyFont="1" applyNumberFormat="1">
      <alignment horizontal="center" shrinkToFit="0" vertical="bottom" wrapText="0"/>
    </xf>
    <xf borderId="17" fillId="0" fontId="1" numFmtId="165" xfId="0" applyAlignment="1" applyBorder="1" applyFont="1" applyNumberFormat="1">
      <alignment horizontal="center" shrinkToFit="0" vertical="bottom" wrapText="0"/>
    </xf>
    <xf borderId="17" fillId="0" fontId="1" numFmtId="10" xfId="0" applyAlignment="1" applyBorder="1" applyFont="1" applyNumberFormat="1">
      <alignment horizontal="center" shrinkToFit="0" vertical="bottom" wrapText="0"/>
    </xf>
    <xf borderId="11" fillId="0" fontId="1" numFmtId="2" xfId="0" applyAlignment="1" applyBorder="1" applyFont="1" applyNumberFormat="1">
      <alignment shrinkToFit="0" vertical="bottom" wrapText="0"/>
    </xf>
    <xf borderId="11" fillId="0" fontId="3" numFmtId="0" xfId="0" applyAlignment="1" applyBorder="1" applyFont="1">
      <alignment horizontal="right" shrinkToFit="0" vertical="top" wrapText="1"/>
    </xf>
    <xf borderId="16" fillId="0" fontId="1" numFmtId="171" xfId="0" applyAlignment="1" applyBorder="1" applyFont="1" applyNumberFormat="1">
      <alignment horizontal="right" shrinkToFit="0" vertical="top" wrapText="0"/>
    </xf>
    <xf borderId="16" fillId="0" fontId="29" numFmtId="171" xfId="0" applyAlignment="1" applyBorder="1" applyFont="1" applyNumberFormat="1">
      <alignment horizontal="right" shrinkToFit="0" vertical="top" wrapText="0"/>
    </xf>
    <xf borderId="11" fillId="0" fontId="1" numFmtId="9" xfId="0" applyAlignment="1" applyBorder="1" applyFont="1" applyNumberFormat="1">
      <alignment horizontal="center" shrinkToFit="0" vertical="bottom" wrapText="0"/>
    </xf>
    <xf borderId="11" fillId="0" fontId="1" numFmtId="9" xfId="0" applyAlignment="1" applyBorder="1" applyFont="1" applyNumberFormat="1">
      <alignment shrinkToFit="0" vertical="bottom" wrapText="0"/>
    </xf>
    <xf borderId="16" fillId="9" fontId="3" numFmtId="10" xfId="0" applyAlignment="1" applyBorder="1" applyFont="1" applyNumberFormat="1">
      <alignment horizontal="right" shrinkToFit="0" vertical="bottom" wrapText="0"/>
    </xf>
    <xf borderId="16" fillId="0" fontId="3" numFmtId="171" xfId="0" applyAlignment="1" applyBorder="1" applyFont="1" applyNumberFormat="1">
      <alignment horizontal="right" shrinkToFit="0" vertical="top" wrapText="0"/>
    </xf>
    <xf borderId="0" fillId="0" fontId="1" numFmtId="2" xfId="0" applyAlignment="1" applyFont="1" applyNumberFormat="1">
      <alignment shrinkToFit="0" vertical="bottom" wrapText="0"/>
    </xf>
    <xf borderId="0" fillId="0" fontId="13" numFmtId="0" xfId="0" applyAlignment="1" applyFont="1">
      <alignment horizontal="center"/>
    </xf>
    <xf borderId="0" fillId="2" fontId="13" numFmtId="0" xfId="0" applyFont="1"/>
    <xf borderId="0" fillId="0" fontId="29" numFmtId="2" xfId="0" applyAlignment="1" applyFont="1" applyNumberFormat="1">
      <alignment shrinkToFit="0" vertical="bottom" wrapText="0"/>
    </xf>
    <xf borderId="0" fillId="0" fontId="15" numFmtId="0" xfId="0" applyAlignment="1" applyFont="1">
      <alignment horizontal="center"/>
    </xf>
    <xf borderId="10" fillId="0" fontId="19" numFmtId="0" xfId="0" applyBorder="1" applyFont="1"/>
    <xf borderId="5" fillId="4" fontId="13" numFmtId="0" xfId="0" applyAlignment="1" applyBorder="1" applyFont="1">
      <alignment horizontal="center" shrinkToFit="0" wrapText="1"/>
    </xf>
    <xf borderId="10" fillId="4" fontId="13" numFmtId="0" xfId="0" applyAlignment="1" applyBorder="1" applyFont="1">
      <alignment horizontal="center" shrinkToFit="0" wrapText="1"/>
    </xf>
    <xf borderId="0" fillId="0" fontId="30" numFmtId="166" xfId="0" applyAlignment="1" applyFont="1" applyNumberFormat="1">
      <alignment shrinkToFit="0" vertical="bottom" wrapText="0"/>
    </xf>
    <xf borderId="0" fillId="0" fontId="30" numFmtId="10" xfId="0" applyAlignment="1" applyFont="1" applyNumberFormat="1">
      <alignment horizontal="right" shrinkToFit="0" vertical="bottom" wrapText="0"/>
    </xf>
    <xf borderId="10" fillId="4" fontId="20" numFmtId="0" xfId="0" applyAlignment="1" applyBorder="1" applyFont="1">
      <alignment horizontal="center" shrinkToFit="0" wrapText="1"/>
    </xf>
    <xf borderId="0" fillId="0" fontId="30" numFmtId="0" xfId="0" applyAlignment="1" applyFont="1">
      <alignment shrinkToFit="0" vertical="bottom" wrapText="0"/>
    </xf>
    <xf borderId="0" fillId="0" fontId="23" numFmtId="166" xfId="0" applyAlignment="1" applyFont="1" applyNumberFormat="1">
      <alignment shrinkToFit="0" vertical="bottom" wrapText="0"/>
    </xf>
    <xf borderId="0" fillId="0" fontId="30" numFmtId="166" xfId="0" applyAlignment="1" applyFont="1" applyNumberFormat="1">
      <alignment horizontal="right" shrinkToFit="0" vertical="bottom" wrapText="0"/>
    </xf>
    <xf borderId="0" fillId="0" fontId="23" numFmtId="166" xfId="0" applyAlignment="1" applyFont="1" applyNumberFormat="1">
      <alignment horizontal="right" shrinkToFit="0" vertical="bottom" wrapText="0"/>
    </xf>
    <xf borderId="5" fillId="4" fontId="13" numFmtId="0" xfId="0" applyAlignment="1" applyBorder="1" applyFont="1">
      <alignment horizontal="center" readingOrder="0" shrinkToFit="0" wrapText="1"/>
    </xf>
    <xf borderId="16" fillId="0" fontId="31" numFmtId="0" xfId="0" applyAlignment="1" applyBorder="1" applyFont="1">
      <alignment horizontal="center" shrinkToFit="0" vertical="bottom" wrapText="0"/>
    </xf>
    <xf borderId="15" fillId="0" fontId="31" numFmtId="0" xfId="0" applyAlignment="1" applyBorder="1" applyFont="1">
      <alignment horizontal="center" shrinkToFit="0" vertical="bottom" wrapText="0"/>
    </xf>
    <xf borderId="25" fillId="0" fontId="31" numFmtId="0" xfId="0" applyAlignment="1" applyBorder="1" applyFont="1">
      <alignment horizontal="center" shrinkToFit="0" vertical="bottom" wrapText="0"/>
    </xf>
    <xf borderId="26" fillId="0" fontId="2" numFmtId="0" xfId="0" applyBorder="1" applyFont="1"/>
    <xf borderId="27" fillId="0" fontId="2" numFmtId="0" xfId="0" applyBorder="1" applyFont="1"/>
    <xf borderId="28" fillId="0" fontId="2" numFmtId="0" xfId="0" applyBorder="1" applyFont="1"/>
    <xf borderId="29" fillId="0" fontId="2" numFmtId="0" xfId="0" applyBorder="1" applyFont="1"/>
    <xf borderId="30" fillId="0" fontId="2" numFmtId="0" xfId="0" applyBorder="1" applyFont="1"/>
    <xf borderId="11" fillId="0" fontId="31" numFmtId="0" xfId="0" applyAlignment="1" applyBorder="1" applyFont="1">
      <alignment horizontal="center" shrinkToFit="0" vertical="bottom" wrapText="0"/>
    </xf>
    <xf borderId="11" fillId="0" fontId="32" numFmtId="0" xfId="0" applyAlignment="1" applyBorder="1" applyFont="1">
      <alignment horizontal="center" shrinkToFit="0" vertical="bottom" wrapText="0"/>
    </xf>
    <xf borderId="16" fillId="0" fontId="28" numFmtId="0" xfId="0" applyAlignment="1" applyBorder="1" applyFont="1">
      <alignment shrinkToFit="0" vertical="bottom" wrapText="0"/>
    </xf>
    <xf borderId="11" fillId="0" fontId="22" numFmtId="0" xfId="0" applyAlignment="1" applyBorder="1" applyFont="1">
      <alignment shrinkToFit="0" vertical="bottom" wrapText="0"/>
    </xf>
    <xf borderId="11" fillId="0" fontId="32" numFmtId="10" xfId="0" applyAlignment="1" applyBorder="1" applyFont="1" applyNumberFormat="1">
      <alignment horizontal="center" shrinkToFit="0" vertical="bottom" wrapText="0"/>
    </xf>
    <xf borderId="11" fillId="0" fontId="28" numFmtId="10" xfId="0" applyAlignment="1" applyBorder="1" applyFont="1" applyNumberFormat="1">
      <alignment horizontal="center" shrinkToFit="0" vertical="bottom" wrapText="0"/>
    </xf>
    <xf borderId="25" fillId="0" fontId="28" numFmtId="0" xfId="0" applyAlignment="1" applyBorder="1" applyFont="1">
      <alignment shrinkToFit="0" vertical="top" wrapText="0"/>
    </xf>
    <xf borderId="11" fillId="0" fontId="32" numFmtId="172" xfId="0" applyAlignment="1" applyBorder="1" applyFont="1" applyNumberFormat="1">
      <alignment horizontal="right" shrinkToFit="0" vertical="bottom" wrapText="0"/>
    </xf>
    <xf borderId="31" fillId="0" fontId="2" numFmtId="0" xfId="0" applyBorder="1" applyFont="1"/>
    <xf borderId="32" fillId="0" fontId="2" numFmtId="0" xfId="0" applyBorder="1" applyFont="1"/>
    <xf borderId="29" fillId="0" fontId="22" numFmtId="0" xfId="0" applyAlignment="1" applyBorder="1" applyFont="1">
      <alignment shrinkToFit="0" vertical="bottom" wrapText="0"/>
    </xf>
    <xf borderId="0" fillId="0" fontId="22" numFmtId="0" xfId="0" applyAlignment="1" applyFont="1">
      <alignment shrinkToFit="0" vertical="bottom" wrapText="0"/>
    </xf>
    <xf borderId="32" fillId="0" fontId="22" numFmtId="0" xfId="0" applyAlignment="1" applyBorder="1" applyFont="1">
      <alignment shrinkToFit="0" vertical="bottom" wrapText="0"/>
    </xf>
    <xf borderId="16" fillId="0" fontId="32" numFmtId="0" xfId="0" applyAlignment="1" applyBorder="1" applyFont="1">
      <alignment horizontal="center" shrinkToFit="0" vertical="bottom" wrapText="0"/>
    </xf>
    <xf borderId="11" fillId="0" fontId="32" numFmtId="0" xfId="0" applyAlignment="1" applyBorder="1" applyFont="1">
      <alignment horizontal="left" shrinkToFit="0" vertical="bottom" wrapText="0"/>
    </xf>
    <xf borderId="30" fillId="0" fontId="22" numFmtId="0" xfId="0" applyAlignment="1" applyBorder="1" applyFont="1">
      <alignment shrinkToFit="0" vertical="bottom" wrapText="0"/>
    </xf>
    <xf borderId="16" fillId="0" fontId="22" numFmtId="0" xfId="0" applyAlignment="1" applyBorder="1" applyFont="1">
      <alignment shrinkToFit="0" vertical="bottom" wrapText="0"/>
    </xf>
    <xf borderId="16" fillId="2" fontId="21" numFmtId="0" xfId="0" applyAlignment="1" applyBorder="1" applyFont="1">
      <alignment horizontal="center" shrinkToFit="0" vertical="bottom" wrapText="0"/>
    </xf>
    <xf borderId="15" fillId="0" fontId="31" numFmtId="0" xfId="0" applyAlignment="1" applyBorder="1" applyFont="1">
      <alignment horizontal="center" shrinkToFit="0" vertical="bottom" wrapText="1"/>
    </xf>
    <xf borderId="11" fillId="0" fontId="33" numFmtId="10" xfId="0" applyAlignment="1" applyBorder="1" applyFont="1" applyNumberFormat="1">
      <alignment horizontal="center" shrinkToFit="0" vertical="bottom" wrapText="0"/>
    </xf>
    <xf borderId="0" fillId="0" fontId="32" numFmtId="0" xfId="0" applyAlignment="1" applyFont="1">
      <alignment horizontal="center" shrinkToFit="0" vertical="bottom" wrapText="0"/>
    </xf>
    <xf borderId="16" fillId="0" fontId="34" numFmtId="0" xfId="0" applyAlignment="1" applyBorder="1" applyFont="1">
      <alignment shrinkToFit="0" vertical="bottom" wrapText="1"/>
    </xf>
  </cellXfs>
  <cellStyles count="1">
    <cellStyle xfId="0" name="Normal" builtinId="0"/>
  </cellStyles>
  <dxfs count="4">
    <dxf>
      <font>
        <color rgb="FF000000"/>
        <name val="Arial"/>
      </font>
      <fill>
        <patternFill patternType="none"/>
      </fill>
      <border/>
    </dxf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EF8E3"/>
          <bgColor rgb="FFFEF8E3"/>
        </patternFill>
      </fill>
      <border/>
    </dxf>
  </dxfs>
  <tableStyles count="1">
    <tableStyle count="2" pivot="0" name="CRONOGRAMA-style"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342900</xdr:colOff>
      <xdr:row>1</xdr:row>
      <xdr:rowOff>76200</xdr:rowOff>
    </xdr:from>
    <xdr:ext cx="1228725" cy="1352550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1428750</xdr:colOff>
      <xdr:row>2</xdr:row>
      <xdr:rowOff>95250</xdr:rowOff>
    </xdr:from>
    <xdr:ext cx="1533525" cy="1562100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342900</xdr:colOff>
      <xdr:row>2</xdr:row>
      <xdr:rowOff>47625</xdr:rowOff>
    </xdr:from>
    <xdr:ext cx="1247775" cy="12287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1323975</xdr:colOff>
      <xdr:row>1</xdr:row>
      <xdr:rowOff>123825</xdr:rowOff>
    </xdr:from>
    <xdr:ext cx="1352550" cy="1276350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390525</xdr:colOff>
      <xdr:row>2</xdr:row>
      <xdr:rowOff>38100</xdr:rowOff>
    </xdr:from>
    <xdr:ext cx="1333500" cy="13049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76200</xdr:colOff>
      <xdr:row>20</xdr:row>
      <xdr:rowOff>38100</xdr:rowOff>
    </xdr:from>
    <xdr:ext cx="4381500" cy="723900"/>
    <xdr:pic>
      <xdr:nvPicPr>
        <xdr:cNvPr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headerRowCount="0" ref="A14:Z29" displayName="Table_1" id="1">
  <tableColumns count="26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  <tableColumn name="Column14" id="14"/>
    <tableColumn name="Column15" id="15"/>
    <tableColumn name="Column16" id="16"/>
    <tableColumn name="Column17" id="17"/>
    <tableColumn name="Column18" id="18"/>
    <tableColumn name="Column19" id="19"/>
    <tableColumn name="Column20" id="20"/>
    <tableColumn name="Column21" id="21"/>
    <tableColumn name="Column22" id="22"/>
    <tableColumn name="Column23" id="23"/>
    <tableColumn name="Column24" id="24"/>
    <tableColumn name="Column25" id="25"/>
    <tableColumn name="Column26" id="26"/>
  </tableColumns>
  <tableStyleInfo name="CRONOGRAMA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www.petrolider.com.br/abastecimento/bombas-e-kits-p-abastecer/230-v/kit-de-abastecimento-230v-para-gasolina-vilubri?parceiro=9597&amp;gclid=CjwKCAjw9MuCBhBUEiwAbDZ-7kKN-N7ZNZIUp03gcIYsPpcAxK8vXlYEb4Ox3bZiDkE3osC9Cyu73xoCCgkQAvD_BwE" TargetMode="External"/><Relationship Id="rId2" Type="http://schemas.openxmlformats.org/officeDocument/2006/relationships/hyperlink" Target="https://www.lojadomecanico.com.br/produto/138809/22/249/Conjunto-230V-60lmin-para-Oleo-Diesel-com-Mangueira-4m-Medidor-e-Acessorios/153/?utm_source=googleshopping&amp;utm_campaign=xmlshopping&amp;utm_medium=cpc&amp;utm_content=138809&amp;gclid=CjwKCAjw9MuCBhBUEiwAbDZ-7qBnpSAgG3zC_5wTiBXV2i-_fGtSjC0rQxHmMfE2AagGVUk02KcTOxoC_s4QAvD_BwE" TargetMode="External"/><Relationship Id="rId3" Type="http://schemas.openxmlformats.org/officeDocument/2006/relationships/hyperlink" Target="https://www.casadofrentista.com.br/kit-de-abastecimento-para-gasolina-e-diesel-vilubri.html?utm_source=googleads&amp;utm_medium=&amp;utm_campaign=15924519515&amp;utm_content=133280268638&amp;utm_term=&amp;gclid=Cj0KCQjw-daUBhCIARIsALbkjSZLHPt8K_OyckMxBH8Oz1Pz_nSvWA2sjDxK4SOQJOkEhOi4H1IcL_0aAlPKEALw_wcB" TargetMode="External"/><Relationship Id="rId4" Type="http://schemas.openxmlformats.org/officeDocument/2006/relationships/hyperlink" Target="https://www.americanas.com.br/produto/4959575752?epar=bp_pl_00_go_cc_d_9100_n_comp_tk2&amp;opn=YSMESP&amp;WT.srch=1&amp;offerId=6264597487c00289c233e2d1&amp;gclid=CjwKCAjw3K2XBhAzEiwAmmgrAng5-_fNn_01B0VzHYOixzYXwX2CsfUZYU5Aqk7m72Fa0siARy6byxoCcHcQAvD_BwE" TargetMode="External"/><Relationship Id="rId5" Type="http://schemas.openxmlformats.org/officeDocument/2006/relationships/hyperlink" Target="https://www.dutramaquinas.com.br/p/luminaria-de-emergencia-led-2-000-lumens-com-2-farois-48lem2kl0000-48lem2kl0000?gclid=CjwKCAjw3K2XBhAzEiwAmmgrAhtJ-YQhO-K-879x4gqWzyIA84wc7c7d6JxwZbKhkKt0WrorGIXJABoC8zYQAvD_BwE" TargetMode="External"/><Relationship Id="rId6" Type="http://schemas.openxmlformats.org/officeDocument/2006/relationships/hyperlink" Target="https://www.aopendobrasil.com.br/MLB-1953521365-luminaria-de-emergncia-2000-lumens-led-aprovada-bombeiros-_JM?variation=91634734737&amp;utm_source=google&amp;utm_medium=cpc&amp;utm_campaign=darwin_ss" TargetMode="External"/><Relationship Id="rId7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Relationship Id="rId3" Type="http://schemas.openxmlformats.org/officeDocument/2006/relationships/table" Target="../tables/table1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F9000"/>
    <pageSetUpPr fitToPage="1"/>
  </sheetPr>
  <sheetViews>
    <sheetView workbookViewId="0"/>
  </sheetViews>
  <sheetFormatPr customHeight="1" defaultColWidth="12.63" defaultRowHeight="15.0"/>
  <cols>
    <col customWidth="1" min="1" max="1" width="6.88"/>
    <col customWidth="1" min="2" max="2" width="16.0"/>
    <col customWidth="1" min="3" max="3" width="9.75"/>
    <col customWidth="1" min="4" max="4" width="53.38"/>
    <col customWidth="1" min="5" max="5" width="5.75"/>
    <col customWidth="1" min="6" max="6" width="8.88"/>
    <col customWidth="1" min="7" max="12" width="15.25"/>
    <col customWidth="1" min="13" max="13" width="18.0"/>
    <col customWidth="1" min="14" max="14" width="14.75"/>
    <col customWidth="1" min="15" max="15" width="12.75"/>
    <col customWidth="1" min="16" max="17" width="8.75"/>
    <col customWidth="1" min="18" max="19" width="14.38"/>
    <col customWidth="1" min="20" max="25" width="8.75"/>
  </cols>
  <sheetData>
    <row r="1" ht="12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4"/>
      <c r="P1" s="5"/>
      <c r="Q1" s="4"/>
      <c r="R1" s="4"/>
      <c r="S1" s="4"/>
      <c r="T1" s="4"/>
      <c r="U1" s="4"/>
      <c r="V1" s="4"/>
      <c r="W1" s="4"/>
      <c r="X1" s="4"/>
      <c r="Y1" s="4"/>
    </row>
    <row r="2" ht="12.75" customHeight="1">
      <c r="A2" s="6"/>
      <c r="B2" s="7"/>
      <c r="C2" s="6"/>
      <c r="D2" s="7"/>
      <c r="E2" s="6"/>
      <c r="F2" s="8"/>
      <c r="G2" s="9"/>
      <c r="H2" s="9"/>
      <c r="I2" s="10"/>
      <c r="J2" s="10"/>
      <c r="K2" s="10"/>
      <c r="L2" s="10"/>
      <c r="M2" s="10"/>
      <c r="N2" s="3"/>
      <c r="O2" s="4"/>
      <c r="P2" s="5"/>
      <c r="Q2" s="4"/>
      <c r="R2" s="4"/>
      <c r="S2" s="4"/>
      <c r="T2" s="4"/>
      <c r="U2" s="4"/>
      <c r="V2" s="4"/>
      <c r="W2" s="4"/>
      <c r="X2" s="4"/>
      <c r="Y2" s="4"/>
    </row>
    <row r="3" ht="12.75" customHeight="1">
      <c r="A3" s="6"/>
      <c r="B3" s="11"/>
      <c r="C3" s="12"/>
      <c r="D3" s="13" t="s">
        <v>0</v>
      </c>
      <c r="E3" s="14"/>
      <c r="F3" s="14"/>
      <c r="G3" s="14"/>
      <c r="H3" s="15"/>
      <c r="I3" s="16"/>
      <c r="J3" s="16"/>
      <c r="K3" s="16"/>
      <c r="L3" s="16"/>
      <c r="M3" s="16"/>
      <c r="N3" s="3"/>
      <c r="O3" s="4"/>
      <c r="P3" s="5"/>
      <c r="Q3" s="4"/>
      <c r="R3" s="4"/>
      <c r="S3" s="4"/>
      <c r="T3" s="4"/>
      <c r="U3" s="4"/>
      <c r="V3" s="4"/>
      <c r="W3" s="4"/>
      <c r="X3" s="4"/>
      <c r="Y3" s="4"/>
    </row>
    <row r="4" ht="12.75" customHeight="1">
      <c r="A4" s="6"/>
      <c r="B4" s="17"/>
      <c r="C4" s="18"/>
      <c r="D4" s="19" t="s">
        <v>1</v>
      </c>
      <c r="E4" s="14"/>
      <c r="F4" s="14"/>
      <c r="G4" s="15"/>
      <c r="H4" s="20"/>
      <c r="I4" s="16"/>
      <c r="J4" s="16"/>
      <c r="K4" s="16"/>
      <c r="L4" s="21" t="s">
        <v>2</v>
      </c>
      <c r="M4" s="22">
        <v>0.2601</v>
      </c>
      <c r="N4" s="3"/>
      <c r="O4" s="4"/>
      <c r="P4" s="5"/>
      <c r="Q4" s="4"/>
      <c r="R4" s="4"/>
      <c r="S4" s="4"/>
      <c r="T4" s="4"/>
      <c r="U4" s="4"/>
      <c r="V4" s="4"/>
      <c r="W4" s="4"/>
      <c r="X4" s="4"/>
      <c r="Y4" s="4"/>
    </row>
    <row r="5" ht="12.75" customHeight="1">
      <c r="A5" s="6"/>
      <c r="B5" s="17"/>
      <c r="C5" s="18"/>
      <c r="D5" s="13" t="s">
        <v>3</v>
      </c>
      <c r="E5" s="14"/>
      <c r="F5" s="14"/>
      <c r="G5" s="15"/>
      <c r="H5" s="23"/>
      <c r="I5" s="16"/>
      <c r="J5" s="16"/>
      <c r="K5" s="16"/>
      <c r="L5" s="21" t="s">
        <v>4</v>
      </c>
      <c r="M5" s="22">
        <v>0.1635</v>
      </c>
      <c r="N5" s="3"/>
      <c r="O5" s="4"/>
      <c r="P5" s="5"/>
      <c r="Q5" s="4"/>
      <c r="R5" s="4"/>
      <c r="S5" s="4"/>
      <c r="T5" s="4"/>
      <c r="U5" s="4"/>
      <c r="V5" s="4"/>
      <c r="W5" s="4"/>
      <c r="X5" s="4"/>
      <c r="Y5" s="4"/>
    </row>
    <row r="6" ht="12.75" customHeight="1">
      <c r="A6" s="6"/>
      <c r="B6" s="17"/>
      <c r="C6" s="18"/>
      <c r="D6" s="19" t="s">
        <v>5</v>
      </c>
      <c r="E6" s="14"/>
      <c r="F6" s="14"/>
      <c r="G6" s="15"/>
      <c r="H6" s="20"/>
      <c r="I6" s="16"/>
      <c r="J6" s="16"/>
      <c r="K6" s="16"/>
      <c r="L6" s="24"/>
      <c r="M6" s="21"/>
      <c r="N6" s="3"/>
      <c r="O6" s="4"/>
      <c r="P6" s="5"/>
      <c r="Q6" s="4"/>
      <c r="R6" s="4"/>
      <c r="S6" s="4"/>
      <c r="T6" s="4"/>
      <c r="U6" s="4"/>
      <c r="V6" s="4"/>
      <c r="W6" s="4"/>
      <c r="X6" s="4"/>
      <c r="Y6" s="4"/>
    </row>
    <row r="7" ht="12.75" customHeight="1">
      <c r="A7" s="6"/>
      <c r="B7" s="17"/>
      <c r="C7" s="18"/>
      <c r="D7" s="19" t="s">
        <v>6</v>
      </c>
      <c r="E7" s="14"/>
      <c r="F7" s="14"/>
      <c r="G7" s="15"/>
      <c r="H7" s="20"/>
      <c r="I7" s="16"/>
      <c r="J7" s="16"/>
      <c r="K7" s="16"/>
      <c r="L7" s="24" t="s">
        <v>7</v>
      </c>
      <c r="M7" s="24">
        <f>SUM(N14:N436)</f>
        <v>894581.36</v>
      </c>
      <c r="N7" s="3"/>
      <c r="O7" s="4"/>
      <c r="P7" s="5"/>
      <c r="Q7" s="4"/>
      <c r="R7" s="4"/>
      <c r="S7" s="4"/>
      <c r="T7" s="4"/>
      <c r="U7" s="4"/>
      <c r="V7" s="4"/>
      <c r="W7" s="4"/>
      <c r="X7" s="4"/>
      <c r="Y7" s="4"/>
    </row>
    <row r="8" ht="24.75" customHeight="1">
      <c r="A8" s="6"/>
      <c r="B8" s="17"/>
      <c r="C8" s="18"/>
      <c r="D8" s="19" t="s">
        <v>8</v>
      </c>
      <c r="E8" s="14"/>
      <c r="F8" s="14"/>
      <c r="G8" s="15"/>
      <c r="H8" s="20"/>
      <c r="I8" s="16"/>
      <c r="J8" s="16"/>
      <c r="K8" s="16"/>
      <c r="L8" s="16"/>
      <c r="M8" s="16" t="s">
        <v>9</v>
      </c>
      <c r="N8" s="3"/>
      <c r="O8" s="4"/>
      <c r="P8" s="5"/>
      <c r="Q8" s="4"/>
      <c r="R8" s="4"/>
      <c r="S8" s="4"/>
      <c r="T8" s="4"/>
      <c r="U8" s="4"/>
      <c r="V8" s="4"/>
      <c r="W8" s="4"/>
      <c r="X8" s="4"/>
      <c r="Y8" s="4"/>
    </row>
    <row r="9" ht="27.75" customHeight="1">
      <c r="A9" s="6"/>
      <c r="B9" s="25"/>
      <c r="C9" s="26"/>
      <c r="D9" s="27" t="s">
        <v>10</v>
      </c>
      <c r="E9" s="14"/>
      <c r="F9" s="14"/>
      <c r="G9" s="15"/>
      <c r="H9" s="20"/>
      <c r="I9" s="16"/>
      <c r="J9" s="16"/>
      <c r="K9" s="16"/>
      <c r="L9" s="16"/>
      <c r="M9" s="16"/>
      <c r="N9" s="3"/>
      <c r="O9" s="4"/>
      <c r="P9" s="5"/>
      <c r="Q9" s="4"/>
      <c r="R9" s="4"/>
      <c r="S9" s="4"/>
      <c r="T9" s="4"/>
      <c r="U9" s="4"/>
      <c r="V9" s="4"/>
      <c r="W9" s="4"/>
      <c r="X9" s="4"/>
      <c r="Y9" s="4"/>
    </row>
    <row r="10" ht="12.75" customHeight="1">
      <c r="A10" s="28"/>
      <c r="B10" s="28"/>
      <c r="C10" s="28"/>
      <c r="D10" s="28"/>
      <c r="E10" s="28"/>
      <c r="F10" s="29"/>
      <c r="G10" s="30"/>
      <c r="H10" s="30"/>
      <c r="I10" s="28"/>
      <c r="J10" s="28"/>
      <c r="K10" s="28"/>
      <c r="L10" s="28"/>
      <c r="M10" s="28"/>
      <c r="N10" s="3"/>
      <c r="O10" s="4"/>
      <c r="P10" s="5"/>
      <c r="Q10" s="4"/>
      <c r="R10" s="4"/>
      <c r="S10" s="4"/>
      <c r="T10" s="4"/>
      <c r="U10" s="4"/>
      <c r="V10" s="4"/>
      <c r="W10" s="4"/>
      <c r="X10" s="4"/>
      <c r="Y10" s="4"/>
    </row>
    <row r="11" ht="12.75" customHeight="1">
      <c r="A11" s="31" t="s">
        <v>11</v>
      </c>
      <c r="B11" s="32" t="s">
        <v>12</v>
      </c>
      <c r="C11" s="32" t="s">
        <v>13</v>
      </c>
      <c r="D11" s="32" t="s">
        <v>14</v>
      </c>
      <c r="E11" s="32" t="s">
        <v>15</v>
      </c>
      <c r="F11" s="32" t="s">
        <v>16</v>
      </c>
      <c r="G11" s="33" t="s">
        <v>17</v>
      </c>
      <c r="H11" s="34"/>
      <c r="I11" s="35"/>
      <c r="J11" s="36" t="s">
        <v>18</v>
      </c>
      <c r="K11" s="34"/>
      <c r="L11" s="35"/>
      <c r="M11" s="37" t="s">
        <v>19</v>
      </c>
      <c r="N11" s="38"/>
      <c r="O11" s="39"/>
      <c r="P11" s="40"/>
      <c r="Q11" s="39"/>
      <c r="R11" s="4"/>
      <c r="S11" s="4"/>
      <c r="T11" s="4"/>
      <c r="U11" s="4"/>
      <c r="V11" s="4"/>
      <c r="W11" s="4"/>
      <c r="X11" s="4"/>
      <c r="Y11" s="4"/>
    </row>
    <row r="12" ht="12.75" customHeight="1">
      <c r="A12" s="41"/>
      <c r="B12" s="41"/>
      <c r="C12" s="41"/>
      <c r="D12" s="41"/>
      <c r="E12" s="41"/>
      <c r="F12" s="41"/>
      <c r="G12" s="42" t="s">
        <v>20</v>
      </c>
      <c r="H12" s="42" t="s">
        <v>21</v>
      </c>
      <c r="I12" s="43" t="s">
        <v>22</v>
      </c>
      <c r="J12" s="43" t="s">
        <v>23</v>
      </c>
      <c r="K12" s="43" t="s">
        <v>21</v>
      </c>
      <c r="L12" s="43" t="s">
        <v>22</v>
      </c>
      <c r="M12" s="41"/>
      <c r="N12" s="38"/>
      <c r="O12" s="39"/>
      <c r="P12" s="40"/>
      <c r="Q12" s="39"/>
      <c r="R12" s="4"/>
      <c r="S12" s="4"/>
      <c r="T12" s="4"/>
      <c r="U12" s="4"/>
      <c r="V12" s="4"/>
      <c r="W12" s="4"/>
      <c r="X12" s="4"/>
      <c r="Y12" s="4"/>
    </row>
    <row r="13" ht="12.75" customHeight="1">
      <c r="A13" s="44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5"/>
      <c r="N13" s="3"/>
      <c r="O13" s="4"/>
      <c r="P13" s="5"/>
      <c r="Q13" s="4"/>
      <c r="R13" s="4"/>
      <c r="S13" s="4"/>
      <c r="T13" s="4"/>
      <c r="U13" s="4"/>
      <c r="V13" s="4"/>
      <c r="W13" s="4"/>
      <c r="X13" s="4"/>
      <c r="Y13" s="4"/>
    </row>
    <row r="14" ht="12.75" customHeight="1">
      <c r="A14" s="45" t="s">
        <v>24</v>
      </c>
      <c r="B14" s="46"/>
      <c r="C14" s="47"/>
      <c r="D14" s="48" t="s">
        <v>25</v>
      </c>
      <c r="E14" s="34"/>
      <c r="F14" s="34"/>
      <c r="G14" s="34"/>
      <c r="H14" s="34"/>
      <c r="I14" s="35"/>
      <c r="J14" s="49">
        <f t="shared" ref="J14:M14" si="1">SUM(J15:J16)</f>
        <v>2978.82</v>
      </c>
      <c r="K14" s="49">
        <f t="shared" si="1"/>
        <v>10412.28</v>
      </c>
      <c r="L14" s="49">
        <f t="shared" si="1"/>
        <v>13391.1</v>
      </c>
      <c r="M14" s="49">
        <f t="shared" si="1"/>
        <v>16874.12</v>
      </c>
      <c r="N14" s="50">
        <f>M14</f>
        <v>16874.12</v>
      </c>
      <c r="O14" s="51"/>
      <c r="P14" s="52"/>
      <c r="Q14" s="51"/>
      <c r="R14" s="4"/>
      <c r="S14" s="4"/>
      <c r="T14" s="4"/>
      <c r="U14" s="4"/>
      <c r="V14" s="4"/>
      <c r="W14" s="4"/>
      <c r="X14" s="4"/>
      <c r="Y14" s="4"/>
    </row>
    <row r="15">
      <c r="A15" s="53" t="s">
        <v>26</v>
      </c>
      <c r="B15" s="54" t="s">
        <v>27</v>
      </c>
      <c r="C15" s="55" t="s">
        <v>28</v>
      </c>
      <c r="D15" s="56" t="s">
        <v>29</v>
      </c>
      <c r="E15" s="53" t="s">
        <v>30</v>
      </c>
      <c r="F15" s="57">
        <v>6.0</v>
      </c>
      <c r="G15" s="58">
        <v>468.75</v>
      </c>
      <c r="H15" s="58">
        <v>0.0</v>
      </c>
      <c r="I15" s="59">
        <f t="shared" ref="I15:I16" si="2">G15+H15</f>
        <v>468.75</v>
      </c>
      <c r="J15" s="59">
        <f t="shared" ref="J15:J16" si="3">G15*F15</f>
        <v>2812.5</v>
      </c>
      <c r="K15" s="59">
        <f t="shared" ref="K15:K16" si="4">H15*F15</f>
        <v>0</v>
      </c>
      <c r="L15" s="59">
        <f t="shared" ref="L15:L16" si="5">ROUND(J15+K15,2)</f>
        <v>2812.5</v>
      </c>
      <c r="M15" s="60">
        <f t="shared" ref="M15:M16" si="6">ROUND(L15*(1+$M$4),2)</f>
        <v>3544.03</v>
      </c>
      <c r="N15" s="61"/>
      <c r="O15" s="62"/>
      <c r="P15" s="63"/>
      <c r="Q15" s="64"/>
      <c r="R15" s="65"/>
      <c r="S15" s="66"/>
      <c r="T15" s="4"/>
      <c r="U15" s="4"/>
      <c r="V15" s="4"/>
      <c r="W15" s="4"/>
      <c r="X15" s="4"/>
      <c r="Y15" s="4"/>
    </row>
    <row r="16" ht="12.75" customHeight="1">
      <c r="A16" s="53" t="s">
        <v>31</v>
      </c>
      <c r="B16" s="54" t="s">
        <v>32</v>
      </c>
      <c r="C16" s="67" t="s">
        <v>33</v>
      </c>
      <c r="D16" s="56" t="s">
        <v>34</v>
      </c>
      <c r="E16" s="53" t="s">
        <v>35</v>
      </c>
      <c r="F16" s="57">
        <f>6*4*4.5</f>
        <v>108</v>
      </c>
      <c r="G16" s="68">
        <v>1.54000000000001</v>
      </c>
      <c r="H16" s="68">
        <v>96.41</v>
      </c>
      <c r="I16" s="59">
        <f t="shared" si="2"/>
        <v>97.95</v>
      </c>
      <c r="J16" s="59">
        <f t="shared" si="3"/>
        <v>166.32</v>
      </c>
      <c r="K16" s="59">
        <f t="shared" si="4"/>
        <v>10412.28</v>
      </c>
      <c r="L16" s="59">
        <f t="shared" si="5"/>
        <v>10578.6</v>
      </c>
      <c r="M16" s="69">
        <f t="shared" si="6"/>
        <v>13330.09</v>
      </c>
      <c r="N16" s="61"/>
      <c r="O16" s="62"/>
      <c r="P16" s="63"/>
      <c r="Q16" s="64"/>
      <c r="R16" s="65"/>
      <c r="S16" s="66"/>
      <c r="T16" s="4"/>
      <c r="U16" s="4"/>
      <c r="V16" s="4"/>
      <c r="W16" s="4"/>
      <c r="X16" s="4"/>
      <c r="Y16" s="4"/>
    </row>
    <row r="17" ht="12.75" customHeight="1">
      <c r="A17" s="4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5"/>
      <c r="N17" s="3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ht="12.75" customHeight="1">
      <c r="A18" s="70" t="s">
        <v>36</v>
      </c>
      <c r="B18" s="71"/>
      <c r="C18" s="72"/>
      <c r="D18" s="73" t="s">
        <v>37</v>
      </c>
      <c r="E18" s="73"/>
      <c r="F18" s="73"/>
      <c r="G18" s="73"/>
      <c r="H18" s="73"/>
      <c r="I18" s="73"/>
      <c r="J18" s="49">
        <f t="shared" ref="J18:M18" si="7">J19+J28</f>
        <v>75664.1995</v>
      </c>
      <c r="K18" s="49">
        <f t="shared" si="7"/>
        <v>5491.5505</v>
      </c>
      <c r="L18" s="49">
        <f t="shared" si="7"/>
        <v>81155.756</v>
      </c>
      <c r="M18" s="49">
        <f t="shared" si="7"/>
        <v>96932.55</v>
      </c>
      <c r="N18" s="7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ht="12.75" customHeight="1">
      <c r="A19" s="75"/>
      <c r="B19" s="76"/>
      <c r="C19" s="77"/>
      <c r="D19" s="78" t="s">
        <v>38</v>
      </c>
      <c r="E19" s="34"/>
      <c r="F19" s="34"/>
      <c r="G19" s="34"/>
      <c r="H19" s="34"/>
      <c r="I19" s="35"/>
      <c r="J19" s="79">
        <f t="shared" ref="J19:M19" si="8">SUM(J20:J26)</f>
        <v>10558.6035</v>
      </c>
      <c r="K19" s="79">
        <f t="shared" si="8"/>
        <v>2772.3505</v>
      </c>
      <c r="L19" s="79">
        <f t="shared" si="8"/>
        <v>13330.96</v>
      </c>
      <c r="M19" s="79">
        <f t="shared" si="8"/>
        <v>16798.35</v>
      </c>
      <c r="N19" s="74">
        <f>M19</f>
        <v>16798.35</v>
      </c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>
      <c r="A20" s="80" t="s">
        <v>39</v>
      </c>
      <c r="B20" s="81" t="s">
        <v>40</v>
      </c>
      <c r="C20" s="82" t="s">
        <v>41</v>
      </c>
      <c r="D20" s="83" t="s">
        <v>42</v>
      </c>
      <c r="E20" s="84" t="s">
        <v>43</v>
      </c>
      <c r="F20" s="57">
        <v>9.0</v>
      </c>
      <c r="G20" s="58">
        <v>15.14</v>
      </c>
      <c r="H20" s="58">
        <v>1.28</v>
      </c>
      <c r="I20" s="59">
        <f t="shared" ref="I20:I26" si="9">G20+H20</f>
        <v>16.42</v>
      </c>
      <c r="J20" s="59">
        <f t="shared" ref="J20:J26" si="10">G20*F20</f>
        <v>136.26</v>
      </c>
      <c r="K20" s="59">
        <f t="shared" ref="K20:K26" si="11">H20*F20</f>
        <v>11.52</v>
      </c>
      <c r="L20" s="59">
        <f t="shared" ref="L20:L26" si="12">ROUND(J20+K20,2)</f>
        <v>147.78</v>
      </c>
      <c r="M20" s="60">
        <f t="shared" ref="M20:M26" si="13">ROUND(L20*(1+$M$4),2)</f>
        <v>186.22</v>
      </c>
      <c r="N20" s="61"/>
      <c r="O20" s="62"/>
      <c r="P20" s="63"/>
      <c r="Q20" s="64"/>
      <c r="R20" s="4"/>
      <c r="S20" s="4"/>
      <c r="T20" s="4"/>
      <c r="U20" s="4"/>
      <c r="V20" s="4"/>
      <c r="W20" s="4"/>
      <c r="X20" s="4"/>
      <c r="Y20" s="4"/>
    </row>
    <row r="21">
      <c r="A21" s="84" t="s">
        <v>44</v>
      </c>
      <c r="B21" s="81" t="s">
        <v>45</v>
      </c>
      <c r="C21" s="85">
        <v>92779.0</v>
      </c>
      <c r="D21" s="86" t="s">
        <v>46</v>
      </c>
      <c r="E21" s="87" t="s">
        <v>47</v>
      </c>
      <c r="F21" s="88">
        <v>62.0</v>
      </c>
      <c r="G21" s="58">
        <v>10.41</v>
      </c>
      <c r="H21" s="58">
        <v>1.57</v>
      </c>
      <c r="I21" s="59">
        <f t="shared" si="9"/>
        <v>11.98</v>
      </c>
      <c r="J21" s="59">
        <f t="shared" si="10"/>
        <v>645.42</v>
      </c>
      <c r="K21" s="59">
        <f t="shared" si="11"/>
        <v>97.34</v>
      </c>
      <c r="L21" s="59">
        <f t="shared" si="12"/>
        <v>742.76</v>
      </c>
      <c r="M21" s="60">
        <f t="shared" si="13"/>
        <v>935.95</v>
      </c>
      <c r="N21" s="51"/>
      <c r="O21" s="89"/>
      <c r="P21" s="90"/>
      <c r="Q21" s="91"/>
      <c r="R21" s="92"/>
      <c r="S21" s="92"/>
      <c r="T21" s="92"/>
      <c r="U21" s="92"/>
      <c r="V21" s="92"/>
      <c r="W21" s="92"/>
      <c r="X21" s="92"/>
      <c r="Y21" s="92"/>
    </row>
    <row r="22">
      <c r="A22" s="84" t="s">
        <v>48</v>
      </c>
      <c r="B22" s="81" t="s">
        <v>49</v>
      </c>
      <c r="C22" s="85">
        <v>100896.0</v>
      </c>
      <c r="D22" s="86" t="s">
        <v>50</v>
      </c>
      <c r="E22" s="87" t="s">
        <v>51</v>
      </c>
      <c r="F22" s="88">
        <f>6*6</f>
        <v>36</v>
      </c>
      <c r="G22" s="58">
        <v>47.21</v>
      </c>
      <c r="H22" s="58">
        <v>31.29</v>
      </c>
      <c r="I22" s="59">
        <f t="shared" si="9"/>
        <v>78.5</v>
      </c>
      <c r="J22" s="59">
        <f t="shared" si="10"/>
        <v>1699.56</v>
      </c>
      <c r="K22" s="59">
        <f t="shared" si="11"/>
        <v>1126.44</v>
      </c>
      <c r="L22" s="59">
        <f t="shared" si="12"/>
        <v>2826</v>
      </c>
      <c r="M22" s="60">
        <f t="shared" si="13"/>
        <v>3561.04</v>
      </c>
      <c r="N22" s="51"/>
      <c r="O22" s="89"/>
      <c r="P22" s="90"/>
      <c r="Q22" s="91"/>
      <c r="R22" s="92"/>
      <c r="S22" s="92"/>
      <c r="T22" s="92"/>
      <c r="U22" s="92"/>
      <c r="V22" s="92"/>
      <c r="W22" s="92"/>
      <c r="X22" s="92"/>
      <c r="Y22" s="92"/>
    </row>
    <row r="23">
      <c r="A23" s="84" t="s">
        <v>52</v>
      </c>
      <c r="B23" s="81" t="s">
        <v>53</v>
      </c>
      <c r="C23" s="85">
        <v>96622.0</v>
      </c>
      <c r="D23" s="86" t="s">
        <v>54</v>
      </c>
      <c r="E23" s="87" t="s">
        <v>43</v>
      </c>
      <c r="F23" s="88">
        <f>9*0.05</f>
        <v>0.45</v>
      </c>
      <c r="G23" s="58">
        <v>75.45</v>
      </c>
      <c r="H23" s="58">
        <v>28.05</v>
      </c>
      <c r="I23" s="59">
        <f t="shared" si="9"/>
        <v>103.5</v>
      </c>
      <c r="J23" s="59">
        <f t="shared" si="10"/>
        <v>33.9525</v>
      </c>
      <c r="K23" s="59">
        <f t="shared" si="11"/>
        <v>12.6225</v>
      </c>
      <c r="L23" s="59">
        <f t="shared" si="12"/>
        <v>46.58</v>
      </c>
      <c r="M23" s="60">
        <f t="shared" si="13"/>
        <v>58.7</v>
      </c>
      <c r="N23" s="51"/>
      <c r="O23" s="89"/>
      <c r="P23" s="90"/>
      <c r="Q23" s="91"/>
      <c r="R23" s="92"/>
      <c r="S23" s="92"/>
      <c r="T23" s="92"/>
      <c r="U23" s="92"/>
      <c r="V23" s="92"/>
      <c r="W23" s="92"/>
      <c r="X23" s="92"/>
      <c r="Y23" s="92"/>
    </row>
    <row r="24">
      <c r="A24" s="84" t="s">
        <v>55</v>
      </c>
      <c r="B24" s="81" t="s">
        <v>56</v>
      </c>
      <c r="C24" s="85">
        <v>96536.0</v>
      </c>
      <c r="D24" s="86" t="s">
        <v>57</v>
      </c>
      <c r="E24" s="87" t="s">
        <v>58</v>
      </c>
      <c r="F24" s="88">
        <f>1.1*12</f>
        <v>13.2</v>
      </c>
      <c r="G24" s="58">
        <v>53.76</v>
      </c>
      <c r="H24" s="58">
        <v>28.65</v>
      </c>
      <c r="I24" s="59">
        <f t="shared" si="9"/>
        <v>82.41</v>
      </c>
      <c r="J24" s="59">
        <f t="shared" si="10"/>
        <v>709.632</v>
      </c>
      <c r="K24" s="59">
        <f t="shared" si="11"/>
        <v>378.18</v>
      </c>
      <c r="L24" s="59">
        <f t="shared" si="12"/>
        <v>1087.81</v>
      </c>
      <c r="M24" s="60">
        <f t="shared" si="13"/>
        <v>1370.75</v>
      </c>
      <c r="N24" s="51"/>
      <c r="O24" s="89"/>
      <c r="P24" s="90"/>
      <c r="Q24" s="91"/>
      <c r="R24" s="92"/>
      <c r="S24" s="92"/>
      <c r="T24" s="92"/>
      <c r="U24" s="92"/>
      <c r="V24" s="92"/>
      <c r="W24" s="92"/>
      <c r="X24" s="92"/>
      <c r="Y24" s="92"/>
    </row>
    <row r="25">
      <c r="A25" s="84" t="s">
        <v>59</v>
      </c>
      <c r="B25" s="81" t="s">
        <v>60</v>
      </c>
      <c r="C25" s="85">
        <v>92779.0</v>
      </c>
      <c r="D25" s="86" t="s">
        <v>61</v>
      </c>
      <c r="E25" s="87" t="s">
        <v>47</v>
      </c>
      <c r="F25" s="88">
        <v>380.0</v>
      </c>
      <c r="G25" s="58">
        <v>10.41</v>
      </c>
      <c r="H25" s="58">
        <v>1.57</v>
      </c>
      <c r="I25" s="59">
        <f t="shared" si="9"/>
        <v>11.98</v>
      </c>
      <c r="J25" s="59">
        <f t="shared" si="10"/>
        <v>3955.8</v>
      </c>
      <c r="K25" s="59">
        <f t="shared" si="11"/>
        <v>596.6</v>
      </c>
      <c r="L25" s="59">
        <f t="shared" si="12"/>
        <v>4552.4</v>
      </c>
      <c r="M25" s="60">
        <f t="shared" si="13"/>
        <v>5736.48</v>
      </c>
      <c r="N25" s="51"/>
      <c r="O25" s="89"/>
      <c r="P25" s="90"/>
      <c r="Q25" s="91"/>
      <c r="R25" s="92"/>
      <c r="S25" s="92"/>
      <c r="T25" s="92"/>
      <c r="U25" s="92"/>
      <c r="V25" s="92"/>
      <c r="W25" s="92"/>
      <c r="X25" s="92"/>
      <c r="Y25" s="92"/>
    </row>
    <row r="26">
      <c r="A26" s="84" t="s">
        <v>62</v>
      </c>
      <c r="B26" s="81" t="s">
        <v>63</v>
      </c>
      <c r="C26" s="85">
        <v>94964.0</v>
      </c>
      <c r="D26" s="86" t="s">
        <v>64</v>
      </c>
      <c r="E26" s="87" t="s">
        <v>43</v>
      </c>
      <c r="F26" s="88">
        <f>1.1*9</f>
        <v>9.9</v>
      </c>
      <c r="G26" s="58">
        <v>341.21</v>
      </c>
      <c r="H26" s="58">
        <v>55.52</v>
      </c>
      <c r="I26" s="59">
        <f t="shared" si="9"/>
        <v>396.73</v>
      </c>
      <c r="J26" s="59">
        <f t="shared" si="10"/>
        <v>3377.979</v>
      </c>
      <c r="K26" s="59">
        <f t="shared" si="11"/>
        <v>549.648</v>
      </c>
      <c r="L26" s="59">
        <f t="shared" si="12"/>
        <v>3927.63</v>
      </c>
      <c r="M26" s="60">
        <f t="shared" si="13"/>
        <v>4949.21</v>
      </c>
      <c r="N26" s="51"/>
      <c r="O26" s="89"/>
      <c r="P26" s="90"/>
      <c r="Q26" s="91"/>
      <c r="R26" s="92"/>
      <c r="S26" s="92"/>
      <c r="T26" s="92"/>
      <c r="U26" s="92"/>
      <c r="V26" s="92"/>
      <c r="W26" s="92"/>
      <c r="X26" s="92"/>
      <c r="Y26" s="92"/>
    </row>
    <row r="27" ht="12.75" customHeight="1">
      <c r="A27" s="4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5"/>
      <c r="N27" s="3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ht="12.75" customHeight="1">
      <c r="A28" s="75"/>
      <c r="B28" s="76"/>
      <c r="C28" s="77"/>
      <c r="D28" s="78" t="s">
        <v>65</v>
      </c>
      <c r="E28" s="34"/>
      <c r="F28" s="34"/>
      <c r="G28" s="34"/>
      <c r="H28" s="34"/>
      <c r="I28" s="35"/>
      <c r="J28" s="79">
        <f t="shared" ref="J28:M28" si="14">SUM(J29:J52)</f>
        <v>65105.596</v>
      </c>
      <c r="K28" s="79">
        <f t="shared" si="14"/>
        <v>2719.2</v>
      </c>
      <c r="L28" s="79">
        <f t="shared" si="14"/>
        <v>67824.796</v>
      </c>
      <c r="M28" s="79">
        <f t="shared" si="14"/>
        <v>80134.2</v>
      </c>
      <c r="N28" s="74">
        <f>M28</f>
        <v>80134.2</v>
      </c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>
      <c r="A29" s="93" t="s">
        <v>66</v>
      </c>
      <c r="B29" s="94" t="s">
        <v>37</v>
      </c>
      <c r="C29" s="95" t="s">
        <v>67</v>
      </c>
      <c r="D29" s="96" t="s">
        <v>68</v>
      </c>
      <c r="E29" s="97" t="s">
        <v>15</v>
      </c>
      <c r="F29" s="57">
        <v>1.0</v>
      </c>
      <c r="G29" s="98">
        <f>'COTAÇÕES'!B32</f>
        <v>55195</v>
      </c>
      <c r="H29" s="99">
        <v>0.0</v>
      </c>
      <c r="I29" s="59">
        <f t="shared" ref="I29:I52" si="15">G29+H29</f>
        <v>55195</v>
      </c>
      <c r="J29" s="59">
        <f t="shared" ref="J29:J52" si="16">G29*F29</f>
        <v>55195</v>
      </c>
      <c r="K29" s="59">
        <f t="shared" ref="K29:K52" si="17">H29*F29</f>
        <v>0</v>
      </c>
      <c r="L29" s="59">
        <f t="shared" ref="L29:L37" si="18">ROUND(J29+K29,2)</f>
        <v>55195</v>
      </c>
      <c r="M29" s="100">
        <f>ROUND(L29*(1+$M$5),2)</f>
        <v>64219.38</v>
      </c>
      <c r="N29" s="61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</row>
    <row r="30">
      <c r="A30" s="93" t="s">
        <v>69</v>
      </c>
      <c r="B30" s="101" t="s">
        <v>70</v>
      </c>
      <c r="C30" s="85" t="s">
        <v>71</v>
      </c>
      <c r="D30" s="102" t="s">
        <v>72</v>
      </c>
      <c r="E30" s="103" t="s">
        <v>15</v>
      </c>
      <c r="F30" s="57">
        <v>1.0</v>
      </c>
      <c r="G30" s="58">
        <v>1510.29</v>
      </c>
      <c r="H30" s="58">
        <v>437.04</v>
      </c>
      <c r="I30" s="59">
        <f t="shared" si="15"/>
        <v>1947.33</v>
      </c>
      <c r="J30" s="59">
        <f t="shared" si="16"/>
        <v>1510.29</v>
      </c>
      <c r="K30" s="59">
        <f t="shared" si="17"/>
        <v>437.04</v>
      </c>
      <c r="L30" s="59">
        <f t="shared" si="18"/>
        <v>1947.33</v>
      </c>
      <c r="M30" s="60">
        <f t="shared" ref="M30:M52" si="19">ROUND(L30*(1+$M$4),2)</f>
        <v>2453.83</v>
      </c>
      <c r="N30" s="3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>
      <c r="A31" s="93" t="s">
        <v>73</v>
      </c>
      <c r="B31" s="101" t="s">
        <v>74</v>
      </c>
      <c r="C31" s="104">
        <v>94651.0</v>
      </c>
      <c r="D31" s="102" t="s">
        <v>75</v>
      </c>
      <c r="E31" s="103" t="s">
        <v>51</v>
      </c>
      <c r="F31" s="57">
        <v>51.0</v>
      </c>
      <c r="G31" s="58">
        <v>22.34</v>
      </c>
      <c r="H31" s="58">
        <v>6.23</v>
      </c>
      <c r="I31" s="59">
        <f t="shared" si="15"/>
        <v>28.57</v>
      </c>
      <c r="J31" s="59">
        <f t="shared" si="16"/>
        <v>1139.34</v>
      </c>
      <c r="K31" s="59">
        <f t="shared" si="17"/>
        <v>317.73</v>
      </c>
      <c r="L31" s="59">
        <f t="shared" si="18"/>
        <v>1457.07</v>
      </c>
      <c r="M31" s="60">
        <f t="shared" si="19"/>
        <v>1836.05</v>
      </c>
      <c r="N31" s="3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>
      <c r="A32" s="93" t="s">
        <v>76</v>
      </c>
      <c r="B32" s="101" t="s">
        <v>77</v>
      </c>
      <c r="C32" s="104">
        <v>94499.0</v>
      </c>
      <c r="D32" s="102" t="s">
        <v>78</v>
      </c>
      <c r="E32" s="103" t="s">
        <v>15</v>
      </c>
      <c r="F32" s="57">
        <v>3.0</v>
      </c>
      <c r="G32" s="58">
        <v>245.45</v>
      </c>
      <c r="H32" s="58">
        <v>15.01</v>
      </c>
      <c r="I32" s="59">
        <f t="shared" si="15"/>
        <v>260.46</v>
      </c>
      <c r="J32" s="59">
        <f t="shared" si="16"/>
        <v>736.35</v>
      </c>
      <c r="K32" s="59">
        <f t="shared" si="17"/>
        <v>45.03</v>
      </c>
      <c r="L32" s="59">
        <f t="shared" si="18"/>
        <v>781.38</v>
      </c>
      <c r="M32" s="60">
        <f t="shared" si="19"/>
        <v>984.62</v>
      </c>
      <c r="N32" s="3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>
      <c r="A33" s="93" t="s">
        <v>79</v>
      </c>
      <c r="B33" s="101" t="s">
        <v>80</v>
      </c>
      <c r="C33" s="104">
        <v>89501.0</v>
      </c>
      <c r="D33" s="102" t="s">
        <v>81</v>
      </c>
      <c r="E33" s="103" t="s">
        <v>15</v>
      </c>
      <c r="F33" s="57">
        <v>11.0</v>
      </c>
      <c r="G33" s="58">
        <v>12.48</v>
      </c>
      <c r="H33" s="58">
        <v>3.56</v>
      </c>
      <c r="I33" s="59">
        <f t="shared" si="15"/>
        <v>16.04</v>
      </c>
      <c r="J33" s="59">
        <f t="shared" si="16"/>
        <v>137.28</v>
      </c>
      <c r="K33" s="59">
        <f t="shared" si="17"/>
        <v>39.16</v>
      </c>
      <c r="L33" s="59">
        <f t="shared" si="18"/>
        <v>176.44</v>
      </c>
      <c r="M33" s="60">
        <f t="shared" si="19"/>
        <v>222.33</v>
      </c>
      <c r="N33" s="3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>
      <c r="A34" s="93" t="s">
        <v>82</v>
      </c>
      <c r="B34" s="101" t="s">
        <v>80</v>
      </c>
      <c r="C34" s="85">
        <v>89595.0</v>
      </c>
      <c r="D34" s="102" t="s">
        <v>83</v>
      </c>
      <c r="E34" s="103" t="s">
        <v>15</v>
      </c>
      <c r="F34" s="57">
        <v>6.0</v>
      </c>
      <c r="G34" s="58">
        <v>15.57</v>
      </c>
      <c r="H34" s="58">
        <v>2.36</v>
      </c>
      <c r="I34" s="59">
        <f t="shared" si="15"/>
        <v>17.93</v>
      </c>
      <c r="J34" s="59">
        <f t="shared" si="16"/>
        <v>93.42</v>
      </c>
      <c r="K34" s="59">
        <f t="shared" si="17"/>
        <v>14.16</v>
      </c>
      <c r="L34" s="59">
        <f t="shared" si="18"/>
        <v>107.58</v>
      </c>
      <c r="M34" s="60">
        <f t="shared" si="19"/>
        <v>135.56</v>
      </c>
      <c r="N34" s="3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>
      <c r="A35" s="93" t="s">
        <v>84</v>
      </c>
      <c r="B35" s="94" t="s">
        <v>85</v>
      </c>
      <c r="C35" s="85">
        <v>93358.0</v>
      </c>
      <c r="D35" s="102" t="s">
        <v>86</v>
      </c>
      <c r="E35" s="103" t="s">
        <v>43</v>
      </c>
      <c r="F35" s="57">
        <v>6.0</v>
      </c>
      <c r="G35" s="58">
        <v>25.76</v>
      </c>
      <c r="H35" s="58">
        <v>52.48</v>
      </c>
      <c r="I35" s="59">
        <f t="shared" si="15"/>
        <v>78.24</v>
      </c>
      <c r="J35" s="59">
        <f t="shared" si="16"/>
        <v>154.56</v>
      </c>
      <c r="K35" s="59">
        <f t="shared" si="17"/>
        <v>314.88</v>
      </c>
      <c r="L35" s="59">
        <f t="shared" si="18"/>
        <v>469.44</v>
      </c>
      <c r="M35" s="60">
        <f t="shared" si="19"/>
        <v>591.54</v>
      </c>
      <c r="N35" s="3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>
      <c r="A36" s="93" t="s">
        <v>87</v>
      </c>
      <c r="B36" s="94" t="s">
        <v>85</v>
      </c>
      <c r="C36" s="85">
        <v>91871.0</v>
      </c>
      <c r="D36" s="102" t="s">
        <v>88</v>
      </c>
      <c r="E36" s="103" t="s">
        <v>51</v>
      </c>
      <c r="F36" s="57">
        <v>75.0</v>
      </c>
      <c r="G36" s="58">
        <v>7.89</v>
      </c>
      <c r="H36" s="58">
        <v>5.71</v>
      </c>
      <c r="I36" s="59">
        <f t="shared" si="15"/>
        <v>13.6</v>
      </c>
      <c r="J36" s="59">
        <f t="shared" si="16"/>
        <v>591.75</v>
      </c>
      <c r="K36" s="59">
        <f t="shared" si="17"/>
        <v>428.25</v>
      </c>
      <c r="L36" s="59">
        <f t="shared" si="18"/>
        <v>1020</v>
      </c>
      <c r="M36" s="60">
        <f t="shared" si="19"/>
        <v>1285.3</v>
      </c>
      <c r="N36" s="3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>
      <c r="A37" s="93" t="s">
        <v>89</v>
      </c>
      <c r="B37" s="94" t="s">
        <v>90</v>
      </c>
      <c r="C37" s="85">
        <v>102137.0</v>
      </c>
      <c r="D37" s="102" t="s">
        <v>91</v>
      </c>
      <c r="E37" s="103" t="s">
        <v>15</v>
      </c>
      <c r="F37" s="57">
        <v>1.0</v>
      </c>
      <c r="G37" s="58">
        <v>63.37</v>
      </c>
      <c r="H37" s="58">
        <v>21.24</v>
      </c>
      <c r="I37" s="59">
        <f t="shared" si="15"/>
        <v>84.61</v>
      </c>
      <c r="J37" s="59">
        <f t="shared" si="16"/>
        <v>63.37</v>
      </c>
      <c r="K37" s="59">
        <f t="shared" si="17"/>
        <v>21.24</v>
      </c>
      <c r="L37" s="59">
        <f t="shared" si="18"/>
        <v>84.61</v>
      </c>
      <c r="M37" s="60">
        <f t="shared" si="19"/>
        <v>106.62</v>
      </c>
      <c r="N37" s="3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>
      <c r="A38" s="93" t="s">
        <v>92</v>
      </c>
      <c r="B38" s="105" t="s">
        <v>93</v>
      </c>
      <c r="C38" s="106" t="s">
        <v>94</v>
      </c>
      <c r="D38" s="107" t="s">
        <v>64</v>
      </c>
      <c r="E38" s="103" t="s">
        <v>43</v>
      </c>
      <c r="F38" s="57">
        <v>0.4</v>
      </c>
      <c r="G38" s="58">
        <v>341.21</v>
      </c>
      <c r="H38" s="58">
        <v>55.52</v>
      </c>
      <c r="I38" s="108">
        <f t="shared" si="15"/>
        <v>396.73</v>
      </c>
      <c r="J38" s="108">
        <f t="shared" si="16"/>
        <v>136.484</v>
      </c>
      <c r="K38" s="108">
        <f t="shared" si="17"/>
        <v>22.208</v>
      </c>
      <c r="L38" s="108">
        <f t="shared" ref="L38:L42" si="20">I38*F38</f>
        <v>158.692</v>
      </c>
      <c r="M38" s="109">
        <f t="shared" si="19"/>
        <v>199.97</v>
      </c>
      <c r="N38" s="110"/>
      <c r="O38" s="110"/>
      <c r="P38" s="111"/>
      <c r="Q38" s="110"/>
      <c r="R38" s="64"/>
      <c r="S38" s="64"/>
      <c r="T38" s="64"/>
      <c r="U38" s="64"/>
      <c r="V38" s="64"/>
      <c r="W38" s="64"/>
      <c r="X38" s="64"/>
      <c r="Y38" s="64"/>
    </row>
    <row r="39">
      <c r="A39" s="93" t="s">
        <v>95</v>
      </c>
      <c r="B39" s="105" t="s">
        <v>96</v>
      </c>
      <c r="C39" s="106" t="s">
        <v>97</v>
      </c>
      <c r="D39" s="107" t="s">
        <v>98</v>
      </c>
      <c r="E39" s="103" t="s">
        <v>47</v>
      </c>
      <c r="F39" s="57">
        <v>28.8</v>
      </c>
      <c r="G39" s="58">
        <v>13.11</v>
      </c>
      <c r="H39" s="58">
        <v>4.41</v>
      </c>
      <c r="I39" s="108">
        <f t="shared" si="15"/>
        <v>17.52</v>
      </c>
      <c r="J39" s="108">
        <f t="shared" si="16"/>
        <v>377.568</v>
      </c>
      <c r="K39" s="108">
        <f t="shared" si="17"/>
        <v>127.008</v>
      </c>
      <c r="L39" s="108">
        <f t="shared" si="20"/>
        <v>504.576</v>
      </c>
      <c r="M39" s="109">
        <f t="shared" si="19"/>
        <v>635.82</v>
      </c>
      <c r="N39" s="110"/>
      <c r="O39" s="110"/>
      <c r="P39" s="111"/>
      <c r="Q39" s="110"/>
      <c r="R39" s="64"/>
      <c r="S39" s="64"/>
      <c r="T39" s="64"/>
      <c r="U39" s="64"/>
      <c r="V39" s="64"/>
      <c r="W39" s="64"/>
      <c r="X39" s="64"/>
      <c r="Y39" s="64"/>
    </row>
    <row r="40">
      <c r="A40" s="93" t="s">
        <v>99</v>
      </c>
      <c r="B40" s="105" t="s">
        <v>100</v>
      </c>
      <c r="C40" s="106" t="s">
        <v>101</v>
      </c>
      <c r="D40" s="107" t="s">
        <v>102</v>
      </c>
      <c r="E40" s="103" t="s">
        <v>58</v>
      </c>
      <c r="F40" s="57">
        <v>1.9</v>
      </c>
      <c r="G40" s="58">
        <v>56.33</v>
      </c>
      <c r="H40" s="58">
        <v>56.58</v>
      </c>
      <c r="I40" s="108">
        <f t="shared" si="15"/>
        <v>112.91</v>
      </c>
      <c r="J40" s="108">
        <f t="shared" si="16"/>
        <v>107.027</v>
      </c>
      <c r="K40" s="108">
        <f t="shared" si="17"/>
        <v>107.502</v>
      </c>
      <c r="L40" s="108">
        <f t="shared" si="20"/>
        <v>214.529</v>
      </c>
      <c r="M40" s="109">
        <f t="shared" si="19"/>
        <v>270.33</v>
      </c>
      <c r="N40" s="110"/>
      <c r="O40" s="110"/>
      <c r="P40" s="111"/>
      <c r="Q40" s="110"/>
      <c r="R40" s="64"/>
      <c r="S40" s="64"/>
      <c r="T40" s="64"/>
      <c r="U40" s="64"/>
      <c r="V40" s="64"/>
      <c r="W40" s="64"/>
      <c r="X40" s="64"/>
      <c r="Y40" s="64"/>
    </row>
    <row r="41">
      <c r="A41" s="93" t="s">
        <v>103</v>
      </c>
      <c r="B41" s="105" t="s">
        <v>104</v>
      </c>
      <c r="C41" s="106" t="s">
        <v>105</v>
      </c>
      <c r="D41" s="107" t="s">
        <v>106</v>
      </c>
      <c r="E41" s="103" t="s">
        <v>58</v>
      </c>
      <c r="F41" s="57">
        <v>7.1</v>
      </c>
      <c r="G41" s="58">
        <v>59.01</v>
      </c>
      <c r="H41" s="58">
        <v>35.35</v>
      </c>
      <c r="I41" s="108">
        <f t="shared" si="15"/>
        <v>94.36</v>
      </c>
      <c r="J41" s="108">
        <f t="shared" si="16"/>
        <v>418.971</v>
      </c>
      <c r="K41" s="108">
        <f t="shared" si="17"/>
        <v>250.985</v>
      </c>
      <c r="L41" s="108">
        <f t="shared" si="20"/>
        <v>669.956</v>
      </c>
      <c r="M41" s="109">
        <f t="shared" si="19"/>
        <v>844.21</v>
      </c>
      <c r="N41" s="110"/>
      <c r="O41" s="110"/>
      <c r="P41" s="111"/>
      <c r="Q41" s="110"/>
      <c r="R41" s="64"/>
      <c r="S41" s="64"/>
      <c r="T41" s="64"/>
      <c r="U41" s="64"/>
      <c r="V41" s="64"/>
      <c r="W41" s="64"/>
      <c r="X41" s="64"/>
      <c r="Y41" s="64"/>
    </row>
    <row r="42">
      <c r="A42" s="93" t="s">
        <v>107</v>
      </c>
      <c r="B42" s="105" t="s">
        <v>108</v>
      </c>
      <c r="C42" s="106" t="s">
        <v>109</v>
      </c>
      <c r="D42" s="107" t="s">
        <v>110</v>
      </c>
      <c r="E42" s="103" t="s">
        <v>43</v>
      </c>
      <c r="F42" s="57">
        <v>0.42</v>
      </c>
      <c r="G42" s="58">
        <v>52.3</v>
      </c>
      <c r="H42" s="58">
        <v>18.85</v>
      </c>
      <c r="I42" s="108">
        <f t="shared" si="15"/>
        <v>71.15</v>
      </c>
      <c r="J42" s="108">
        <f t="shared" si="16"/>
        <v>21.966</v>
      </c>
      <c r="K42" s="108">
        <f t="shared" si="17"/>
        <v>7.917</v>
      </c>
      <c r="L42" s="108">
        <f t="shared" si="20"/>
        <v>29.883</v>
      </c>
      <c r="M42" s="109">
        <f t="shared" si="19"/>
        <v>37.66</v>
      </c>
      <c r="N42" s="110"/>
      <c r="O42" s="110"/>
      <c r="P42" s="111"/>
      <c r="Q42" s="110"/>
      <c r="R42" s="64"/>
      <c r="S42" s="64"/>
      <c r="T42" s="64"/>
      <c r="U42" s="64"/>
      <c r="V42" s="64"/>
      <c r="W42" s="64"/>
      <c r="X42" s="64"/>
      <c r="Y42" s="64"/>
    </row>
    <row r="43">
      <c r="A43" s="93" t="s">
        <v>111</v>
      </c>
      <c r="B43" s="94" t="s">
        <v>85</v>
      </c>
      <c r="C43" s="85">
        <v>102115.0</v>
      </c>
      <c r="D43" s="102" t="s">
        <v>112</v>
      </c>
      <c r="E43" s="103" t="s">
        <v>15</v>
      </c>
      <c r="F43" s="57">
        <v>1.0</v>
      </c>
      <c r="G43" s="58">
        <v>2141.1</v>
      </c>
      <c r="H43" s="58">
        <v>129.9</v>
      </c>
      <c r="I43" s="59">
        <f t="shared" si="15"/>
        <v>2271</v>
      </c>
      <c r="J43" s="59">
        <f t="shared" si="16"/>
        <v>2141.1</v>
      </c>
      <c r="K43" s="59">
        <f t="shared" si="17"/>
        <v>129.9</v>
      </c>
      <c r="L43" s="59">
        <f t="shared" ref="L43:L52" si="21">ROUND(J43+K43,2)</f>
        <v>2271</v>
      </c>
      <c r="M43" s="60">
        <f t="shared" si="19"/>
        <v>2861.69</v>
      </c>
      <c r="N43" s="3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>
      <c r="A44" s="93" t="s">
        <v>113</v>
      </c>
      <c r="B44" s="94" t="s">
        <v>85</v>
      </c>
      <c r="C44" s="85" t="s">
        <v>114</v>
      </c>
      <c r="D44" s="102" t="s">
        <v>115</v>
      </c>
      <c r="E44" s="103" t="s">
        <v>15</v>
      </c>
      <c r="F44" s="57">
        <v>1.0</v>
      </c>
      <c r="G44" s="58">
        <v>49.03</v>
      </c>
      <c r="H44" s="58">
        <v>10.27</v>
      </c>
      <c r="I44" s="59">
        <f t="shared" si="15"/>
        <v>59.3</v>
      </c>
      <c r="J44" s="59">
        <f t="shared" si="16"/>
        <v>49.03</v>
      </c>
      <c r="K44" s="59">
        <f t="shared" si="17"/>
        <v>10.27</v>
      </c>
      <c r="L44" s="59">
        <f t="shared" si="21"/>
        <v>59.3</v>
      </c>
      <c r="M44" s="60">
        <f t="shared" si="19"/>
        <v>74.72</v>
      </c>
      <c r="N44" s="3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>
      <c r="A45" s="93" t="s">
        <v>116</v>
      </c>
      <c r="B45" s="94" t="s">
        <v>85</v>
      </c>
      <c r="C45" s="85" t="s">
        <v>117</v>
      </c>
      <c r="D45" s="102" t="s">
        <v>118</v>
      </c>
      <c r="E45" s="103" t="s">
        <v>15</v>
      </c>
      <c r="F45" s="57">
        <v>1.0</v>
      </c>
      <c r="G45" s="58">
        <v>68.29</v>
      </c>
      <c r="H45" s="58">
        <v>9.07</v>
      </c>
      <c r="I45" s="59">
        <f t="shared" si="15"/>
        <v>77.36</v>
      </c>
      <c r="J45" s="59">
        <f t="shared" si="16"/>
        <v>68.29</v>
      </c>
      <c r="K45" s="59">
        <f t="shared" si="17"/>
        <v>9.07</v>
      </c>
      <c r="L45" s="59">
        <f t="shared" si="21"/>
        <v>77.36</v>
      </c>
      <c r="M45" s="60">
        <f t="shared" si="19"/>
        <v>97.48</v>
      </c>
      <c r="N45" s="3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>
      <c r="A46" s="93" t="s">
        <v>119</v>
      </c>
      <c r="B46" s="94" t="s">
        <v>85</v>
      </c>
      <c r="C46" s="85" t="s">
        <v>120</v>
      </c>
      <c r="D46" s="102" t="s">
        <v>121</v>
      </c>
      <c r="E46" s="103" t="s">
        <v>51</v>
      </c>
      <c r="F46" s="57">
        <v>160.0</v>
      </c>
      <c r="G46" s="58">
        <v>3.04</v>
      </c>
      <c r="H46" s="58">
        <v>1.0</v>
      </c>
      <c r="I46" s="59">
        <f t="shared" si="15"/>
        <v>4.04</v>
      </c>
      <c r="J46" s="59">
        <f t="shared" si="16"/>
        <v>486.4</v>
      </c>
      <c r="K46" s="59">
        <f t="shared" si="17"/>
        <v>160</v>
      </c>
      <c r="L46" s="59">
        <f t="shared" si="21"/>
        <v>646.4</v>
      </c>
      <c r="M46" s="60">
        <f t="shared" si="19"/>
        <v>814.53</v>
      </c>
      <c r="N46" s="3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>
      <c r="A47" s="93" t="s">
        <v>122</v>
      </c>
      <c r="B47" s="101" t="s">
        <v>123</v>
      </c>
      <c r="C47" s="85">
        <v>92367.0</v>
      </c>
      <c r="D47" s="102" t="s">
        <v>124</v>
      </c>
      <c r="E47" s="103" t="s">
        <v>51</v>
      </c>
      <c r="F47" s="57">
        <v>3.0</v>
      </c>
      <c r="G47" s="58">
        <v>122.28</v>
      </c>
      <c r="H47" s="58">
        <v>8.08</v>
      </c>
      <c r="I47" s="59">
        <f t="shared" si="15"/>
        <v>130.36</v>
      </c>
      <c r="J47" s="59">
        <f t="shared" si="16"/>
        <v>366.84</v>
      </c>
      <c r="K47" s="59">
        <f t="shared" si="17"/>
        <v>24.24</v>
      </c>
      <c r="L47" s="59">
        <f t="shared" si="21"/>
        <v>391.08</v>
      </c>
      <c r="M47" s="60">
        <f t="shared" si="19"/>
        <v>492.8</v>
      </c>
      <c r="N47" s="3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>
      <c r="A48" s="93" t="s">
        <v>125</v>
      </c>
      <c r="B48" s="101" t="s">
        <v>123</v>
      </c>
      <c r="C48" s="85">
        <v>94499.0</v>
      </c>
      <c r="D48" s="102" t="s">
        <v>126</v>
      </c>
      <c r="E48" s="103" t="s">
        <v>15</v>
      </c>
      <c r="F48" s="57">
        <v>1.0</v>
      </c>
      <c r="G48" s="58">
        <v>245.45</v>
      </c>
      <c r="H48" s="58">
        <v>15.01</v>
      </c>
      <c r="I48" s="59">
        <f t="shared" si="15"/>
        <v>260.46</v>
      </c>
      <c r="J48" s="59">
        <f t="shared" si="16"/>
        <v>245.45</v>
      </c>
      <c r="K48" s="59">
        <f t="shared" si="17"/>
        <v>15.01</v>
      </c>
      <c r="L48" s="59">
        <f t="shared" si="21"/>
        <v>260.46</v>
      </c>
      <c r="M48" s="60">
        <f t="shared" si="19"/>
        <v>328.21</v>
      </c>
      <c r="N48" s="3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>
      <c r="A49" s="93" t="s">
        <v>127</v>
      </c>
      <c r="B49" s="101" t="s">
        <v>123</v>
      </c>
      <c r="C49" s="85">
        <v>92377.0</v>
      </c>
      <c r="D49" s="102" t="s">
        <v>128</v>
      </c>
      <c r="E49" s="103" t="s">
        <v>15</v>
      </c>
      <c r="F49" s="57">
        <v>4.0</v>
      </c>
      <c r="G49" s="58">
        <v>72.55</v>
      </c>
      <c r="H49" s="58">
        <v>24.31</v>
      </c>
      <c r="I49" s="59">
        <f t="shared" si="15"/>
        <v>96.86</v>
      </c>
      <c r="J49" s="59">
        <f t="shared" si="16"/>
        <v>290.2</v>
      </c>
      <c r="K49" s="59">
        <f t="shared" si="17"/>
        <v>97.24</v>
      </c>
      <c r="L49" s="59">
        <f t="shared" si="21"/>
        <v>387.44</v>
      </c>
      <c r="M49" s="60">
        <f t="shared" si="19"/>
        <v>488.21</v>
      </c>
      <c r="N49" s="3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>
      <c r="A50" s="93" t="s">
        <v>129</v>
      </c>
      <c r="B50" s="101" t="s">
        <v>123</v>
      </c>
      <c r="C50" s="85">
        <v>92390.0</v>
      </c>
      <c r="D50" s="102" t="s">
        <v>130</v>
      </c>
      <c r="E50" s="103" t="s">
        <v>15</v>
      </c>
      <c r="F50" s="57">
        <v>2.0</v>
      </c>
      <c r="G50" s="58">
        <v>120.25</v>
      </c>
      <c r="H50" s="58">
        <v>36.47</v>
      </c>
      <c r="I50" s="59">
        <f t="shared" si="15"/>
        <v>156.72</v>
      </c>
      <c r="J50" s="59">
        <f t="shared" si="16"/>
        <v>240.5</v>
      </c>
      <c r="K50" s="59">
        <f t="shared" si="17"/>
        <v>72.94</v>
      </c>
      <c r="L50" s="59">
        <f t="shared" si="21"/>
        <v>313.44</v>
      </c>
      <c r="M50" s="60">
        <f t="shared" si="19"/>
        <v>394.97</v>
      </c>
      <c r="N50" s="3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>
      <c r="A51" s="93" t="s">
        <v>131</v>
      </c>
      <c r="B51" s="101" t="s">
        <v>123</v>
      </c>
      <c r="C51" s="85">
        <v>92378.0</v>
      </c>
      <c r="D51" s="102" t="s">
        <v>132</v>
      </c>
      <c r="E51" s="103" t="s">
        <v>15</v>
      </c>
      <c r="F51" s="57">
        <v>2.0</v>
      </c>
      <c r="G51" s="58">
        <v>84.55</v>
      </c>
      <c r="H51" s="58">
        <v>24.31</v>
      </c>
      <c r="I51" s="59">
        <f t="shared" si="15"/>
        <v>108.86</v>
      </c>
      <c r="J51" s="59">
        <f t="shared" si="16"/>
        <v>169.1</v>
      </c>
      <c r="K51" s="59">
        <f t="shared" si="17"/>
        <v>48.62</v>
      </c>
      <c r="L51" s="59">
        <f t="shared" si="21"/>
        <v>217.72</v>
      </c>
      <c r="M51" s="60">
        <f t="shared" si="19"/>
        <v>274.35</v>
      </c>
      <c r="N51" s="3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ht="12.75" customHeight="1">
      <c r="A52" s="93" t="s">
        <v>133</v>
      </c>
      <c r="B52" s="101" t="s">
        <v>123</v>
      </c>
      <c r="C52" s="85">
        <v>99633.0</v>
      </c>
      <c r="D52" s="102" t="s">
        <v>134</v>
      </c>
      <c r="E52" s="103" t="s">
        <v>15</v>
      </c>
      <c r="F52" s="57">
        <v>1.0</v>
      </c>
      <c r="G52" s="58">
        <v>365.31</v>
      </c>
      <c r="H52" s="58">
        <v>18.8</v>
      </c>
      <c r="I52" s="59">
        <f t="shared" si="15"/>
        <v>384.11</v>
      </c>
      <c r="J52" s="59">
        <f t="shared" si="16"/>
        <v>365.31</v>
      </c>
      <c r="K52" s="59">
        <f t="shared" si="17"/>
        <v>18.8</v>
      </c>
      <c r="L52" s="59">
        <f t="shared" si="21"/>
        <v>384.11</v>
      </c>
      <c r="M52" s="60">
        <f t="shared" si="19"/>
        <v>484.02</v>
      </c>
      <c r="N52" s="3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ht="12.75" customHeight="1">
      <c r="A53" s="4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5"/>
      <c r="N53" s="3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ht="12.75" customHeight="1">
      <c r="A54" s="112" t="s">
        <v>135</v>
      </c>
      <c r="B54" s="113"/>
      <c r="C54" s="114"/>
      <c r="D54" s="73" t="s">
        <v>136</v>
      </c>
      <c r="E54" s="73"/>
      <c r="F54" s="73"/>
      <c r="G54" s="73"/>
      <c r="H54" s="73"/>
      <c r="I54" s="73"/>
      <c r="J54" s="49">
        <f t="shared" ref="J54:L54" si="22">J55+J66+J88+J97+J106+J115+J124+J133+J143+J157+J177+J185+J194+J203+J212+J221+J230+J239+J249+J257</f>
        <v>270451.4126</v>
      </c>
      <c r="K54" s="49">
        <f t="shared" si="22"/>
        <v>31306.4636</v>
      </c>
      <c r="L54" s="49">
        <f t="shared" si="22"/>
        <v>301757.882</v>
      </c>
      <c r="M54" s="49">
        <f>M55+M66+M88+M97+M106+M115+M124+M133+M143+M157+M177+M185+M194+M203+M212+M221+M230+M239+M249+M257+M267</f>
        <v>383687.06</v>
      </c>
      <c r="N54" s="7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ht="12.75" customHeight="1">
      <c r="A55" s="115" t="s">
        <v>137</v>
      </c>
      <c r="B55" s="116"/>
      <c r="C55" s="117"/>
      <c r="D55" s="78" t="s">
        <v>138</v>
      </c>
      <c r="E55" s="34"/>
      <c r="F55" s="34"/>
      <c r="G55" s="34"/>
      <c r="H55" s="34"/>
      <c r="I55" s="35"/>
      <c r="J55" s="79">
        <f t="shared" ref="J55:M55" si="23">SUM(J56:J64)</f>
        <v>51680.05</v>
      </c>
      <c r="K55" s="79">
        <f t="shared" si="23"/>
        <v>7277.35</v>
      </c>
      <c r="L55" s="79">
        <f t="shared" si="23"/>
        <v>58957.4</v>
      </c>
      <c r="M55" s="79">
        <f t="shared" si="23"/>
        <v>74292.22</v>
      </c>
      <c r="N55" s="74">
        <f>M55</f>
        <v>74292.22</v>
      </c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>
      <c r="A56" s="118"/>
      <c r="B56" s="101"/>
      <c r="C56" s="85"/>
      <c r="D56" s="102" t="s">
        <v>139</v>
      </c>
      <c r="E56" s="119"/>
      <c r="F56" s="120"/>
      <c r="G56" s="121"/>
      <c r="H56" s="121"/>
      <c r="I56" s="59"/>
      <c r="J56" s="59"/>
      <c r="K56" s="59"/>
      <c r="L56" s="59"/>
      <c r="M56" s="60"/>
      <c r="N56" s="3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>
      <c r="A57" s="93" t="s">
        <v>140</v>
      </c>
      <c r="B57" s="101" t="s">
        <v>141</v>
      </c>
      <c r="C57" s="85">
        <v>90091.0</v>
      </c>
      <c r="D57" s="102" t="s">
        <v>142</v>
      </c>
      <c r="E57" s="103" t="s">
        <v>43</v>
      </c>
      <c r="F57" s="57">
        <v>55.0</v>
      </c>
      <c r="G57" s="58">
        <v>4.85</v>
      </c>
      <c r="H57" s="58">
        <v>1.17</v>
      </c>
      <c r="I57" s="59">
        <f t="shared" ref="I57:I64" si="24">G57+H57</f>
        <v>6.02</v>
      </c>
      <c r="J57" s="59">
        <f t="shared" ref="J57:J64" si="25">G57*F57</f>
        <v>266.75</v>
      </c>
      <c r="K57" s="59">
        <f t="shared" ref="K57:K64" si="26">H57*F57</f>
        <v>64.35</v>
      </c>
      <c r="L57" s="59">
        <f t="shared" ref="L57:L64" si="27">ROUND(J57+K57,2)</f>
        <v>331.1</v>
      </c>
      <c r="M57" s="60">
        <f t="shared" ref="M57:M64" si="28">ROUND(L57*(1+$M$4),2)</f>
        <v>417.22</v>
      </c>
      <c r="N57" s="3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>
      <c r="A58" s="93" t="s">
        <v>143</v>
      </c>
      <c r="B58" s="101" t="s">
        <v>144</v>
      </c>
      <c r="C58" s="85">
        <v>93376.0</v>
      </c>
      <c r="D58" s="102" t="s">
        <v>145</v>
      </c>
      <c r="E58" s="103" t="s">
        <v>43</v>
      </c>
      <c r="F58" s="57">
        <v>55.0</v>
      </c>
      <c r="G58" s="58">
        <v>9.59</v>
      </c>
      <c r="H58" s="58">
        <v>6.42</v>
      </c>
      <c r="I58" s="59">
        <f t="shared" si="24"/>
        <v>16.01</v>
      </c>
      <c r="J58" s="59">
        <f t="shared" si="25"/>
        <v>527.45</v>
      </c>
      <c r="K58" s="59">
        <f t="shared" si="26"/>
        <v>353.1</v>
      </c>
      <c r="L58" s="59">
        <f t="shared" si="27"/>
        <v>880.55</v>
      </c>
      <c r="M58" s="60">
        <f t="shared" si="28"/>
        <v>1109.58</v>
      </c>
      <c r="N58" s="3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>
      <c r="A59" s="93" t="s">
        <v>146</v>
      </c>
      <c r="B59" s="101" t="s">
        <v>147</v>
      </c>
      <c r="C59" s="85">
        <v>92367.0</v>
      </c>
      <c r="D59" s="102" t="s">
        <v>124</v>
      </c>
      <c r="E59" s="103" t="s">
        <v>51</v>
      </c>
      <c r="F59" s="57">
        <v>300.0</v>
      </c>
      <c r="G59" s="58">
        <v>122.28</v>
      </c>
      <c r="H59" s="58">
        <v>8.08</v>
      </c>
      <c r="I59" s="59">
        <f t="shared" si="24"/>
        <v>130.36</v>
      </c>
      <c r="J59" s="59">
        <f t="shared" si="25"/>
        <v>36684</v>
      </c>
      <c r="K59" s="59">
        <f t="shared" si="26"/>
        <v>2424</v>
      </c>
      <c r="L59" s="59">
        <f t="shared" si="27"/>
        <v>39108</v>
      </c>
      <c r="M59" s="60">
        <f t="shared" si="28"/>
        <v>49279.99</v>
      </c>
      <c r="N59" s="3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>
      <c r="A60" s="93" t="s">
        <v>148</v>
      </c>
      <c r="B60" s="101" t="s">
        <v>147</v>
      </c>
      <c r="C60" s="85">
        <v>92357.0</v>
      </c>
      <c r="D60" s="102" t="s">
        <v>149</v>
      </c>
      <c r="E60" s="103" t="s">
        <v>15</v>
      </c>
      <c r="F60" s="57">
        <v>1.0</v>
      </c>
      <c r="G60" s="58">
        <v>165.36</v>
      </c>
      <c r="H60" s="58">
        <v>46.36</v>
      </c>
      <c r="I60" s="59">
        <f t="shared" si="24"/>
        <v>211.72</v>
      </c>
      <c r="J60" s="59">
        <f t="shared" si="25"/>
        <v>165.36</v>
      </c>
      <c r="K60" s="59">
        <f t="shared" si="26"/>
        <v>46.36</v>
      </c>
      <c r="L60" s="59">
        <f t="shared" si="27"/>
        <v>211.72</v>
      </c>
      <c r="M60" s="60">
        <f t="shared" si="28"/>
        <v>266.79</v>
      </c>
      <c r="N60" s="3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>
      <c r="A61" s="93" t="s">
        <v>150</v>
      </c>
      <c r="B61" s="101" t="s">
        <v>147</v>
      </c>
      <c r="C61" s="85">
        <v>92353.0</v>
      </c>
      <c r="D61" s="102" t="s">
        <v>151</v>
      </c>
      <c r="E61" s="103" t="s">
        <v>15</v>
      </c>
      <c r="F61" s="57">
        <v>5.0</v>
      </c>
      <c r="G61" s="58">
        <v>119.61</v>
      </c>
      <c r="H61" s="58">
        <v>34.76</v>
      </c>
      <c r="I61" s="59">
        <f t="shared" si="24"/>
        <v>154.37</v>
      </c>
      <c r="J61" s="59">
        <f t="shared" si="25"/>
        <v>598.05</v>
      </c>
      <c r="K61" s="59">
        <f t="shared" si="26"/>
        <v>173.8</v>
      </c>
      <c r="L61" s="59">
        <f t="shared" si="27"/>
        <v>771.85</v>
      </c>
      <c r="M61" s="60">
        <f t="shared" si="28"/>
        <v>972.61</v>
      </c>
      <c r="N61" s="3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>
      <c r="A62" s="93" t="s">
        <v>152</v>
      </c>
      <c r="B62" s="101" t="s">
        <v>85</v>
      </c>
      <c r="C62" s="85">
        <v>92352.0</v>
      </c>
      <c r="D62" s="102" t="s">
        <v>153</v>
      </c>
      <c r="E62" s="103" t="s">
        <v>15</v>
      </c>
      <c r="F62" s="57">
        <v>4.0</v>
      </c>
      <c r="G62" s="58">
        <v>131.36</v>
      </c>
      <c r="H62" s="58">
        <v>34.76</v>
      </c>
      <c r="I62" s="59">
        <f t="shared" si="24"/>
        <v>166.12</v>
      </c>
      <c r="J62" s="59">
        <f t="shared" si="25"/>
        <v>525.44</v>
      </c>
      <c r="K62" s="59">
        <f t="shared" si="26"/>
        <v>139.04</v>
      </c>
      <c r="L62" s="59">
        <f t="shared" si="27"/>
        <v>664.48</v>
      </c>
      <c r="M62" s="60">
        <f t="shared" si="28"/>
        <v>837.31</v>
      </c>
      <c r="N62" s="3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>
      <c r="A63" s="93" t="s">
        <v>154</v>
      </c>
      <c r="B63" s="101" t="s">
        <v>85</v>
      </c>
      <c r="C63" s="85">
        <v>92347.0</v>
      </c>
      <c r="D63" s="102" t="s">
        <v>155</v>
      </c>
      <c r="E63" s="103" t="s">
        <v>15</v>
      </c>
      <c r="F63" s="57">
        <f>F59/6</f>
        <v>50</v>
      </c>
      <c r="G63" s="58">
        <v>84.14</v>
      </c>
      <c r="H63" s="58">
        <v>23.19</v>
      </c>
      <c r="I63" s="59">
        <f t="shared" si="24"/>
        <v>107.33</v>
      </c>
      <c r="J63" s="59">
        <f t="shared" si="25"/>
        <v>4207</v>
      </c>
      <c r="K63" s="59">
        <f t="shared" si="26"/>
        <v>1159.5</v>
      </c>
      <c r="L63" s="59">
        <f t="shared" si="27"/>
        <v>5366.5</v>
      </c>
      <c r="M63" s="60">
        <f t="shared" si="28"/>
        <v>6762.33</v>
      </c>
      <c r="N63" s="3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>
      <c r="A64" s="93" t="s">
        <v>156</v>
      </c>
      <c r="B64" s="101" t="s">
        <v>157</v>
      </c>
      <c r="C64" s="85">
        <v>92377.0</v>
      </c>
      <c r="D64" s="102" t="s">
        <v>128</v>
      </c>
      <c r="E64" s="103" t="s">
        <v>15</v>
      </c>
      <c r="F64" s="57">
        <v>120.0</v>
      </c>
      <c r="G64" s="58">
        <v>72.55</v>
      </c>
      <c r="H64" s="58">
        <v>24.31</v>
      </c>
      <c r="I64" s="59">
        <f t="shared" si="24"/>
        <v>96.86</v>
      </c>
      <c r="J64" s="59">
        <f t="shared" si="25"/>
        <v>8706</v>
      </c>
      <c r="K64" s="59">
        <f t="shared" si="26"/>
        <v>2917.2</v>
      </c>
      <c r="L64" s="59">
        <f t="shared" si="27"/>
        <v>11623.2</v>
      </c>
      <c r="M64" s="60">
        <f t="shared" si="28"/>
        <v>14646.39</v>
      </c>
      <c r="N64" s="3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ht="12.75" customHeight="1">
      <c r="A65" s="4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5"/>
      <c r="N65" s="3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ht="12.75" customHeight="1">
      <c r="A66" s="115" t="s">
        <v>158</v>
      </c>
      <c r="B66" s="116"/>
      <c r="C66" s="117"/>
      <c r="D66" s="78" t="s">
        <v>159</v>
      </c>
      <c r="E66" s="34"/>
      <c r="F66" s="34"/>
      <c r="G66" s="34"/>
      <c r="H66" s="34"/>
      <c r="I66" s="35"/>
      <c r="J66" s="79">
        <f t="shared" ref="J66:M66" si="29">SUM(J67:J86)</f>
        <v>15111.106</v>
      </c>
      <c r="K66" s="79">
        <f t="shared" si="29"/>
        <v>1483.87</v>
      </c>
      <c r="L66" s="79">
        <f t="shared" si="29"/>
        <v>16594.976</v>
      </c>
      <c r="M66" s="79">
        <f t="shared" si="29"/>
        <v>20911.34</v>
      </c>
      <c r="N66" s="74">
        <f>M66</f>
        <v>20911.34</v>
      </c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>
      <c r="A67" s="122" t="s">
        <v>160</v>
      </c>
      <c r="B67" s="105" t="s">
        <v>93</v>
      </c>
      <c r="C67" s="106" t="s">
        <v>94</v>
      </c>
      <c r="D67" s="107" t="s">
        <v>64</v>
      </c>
      <c r="E67" s="103" t="s">
        <v>43</v>
      </c>
      <c r="F67" s="57">
        <v>0.4</v>
      </c>
      <c r="G67" s="58">
        <v>341.21</v>
      </c>
      <c r="H67" s="58">
        <v>55.52</v>
      </c>
      <c r="I67" s="108">
        <f t="shared" ref="I67:I71" si="30">G67+H67</f>
        <v>396.73</v>
      </c>
      <c r="J67" s="108">
        <f t="shared" ref="J67:J71" si="31">G67*F67</f>
        <v>136.484</v>
      </c>
      <c r="K67" s="108">
        <f t="shared" ref="K67:K71" si="32">H67*F67</f>
        <v>22.208</v>
      </c>
      <c r="L67" s="108">
        <f t="shared" ref="L67:L71" si="33">I67*F67</f>
        <v>158.692</v>
      </c>
      <c r="M67" s="109">
        <f t="shared" ref="M67:M71" si="34">ROUND(L67*(1+$M$4),2)</f>
        <v>199.97</v>
      </c>
      <c r="N67" s="110"/>
      <c r="O67" s="110"/>
      <c r="P67" s="111"/>
      <c r="Q67" s="110"/>
      <c r="R67" s="64"/>
      <c r="S67" s="64"/>
      <c r="T67" s="64"/>
      <c r="U67" s="64"/>
      <c r="V67" s="64"/>
      <c r="W67" s="64"/>
      <c r="X67" s="64"/>
      <c r="Y67" s="64"/>
    </row>
    <row r="68">
      <c r="A68" s="122" t="s">
        <v>161</v>
      </c>
      <c r="B68" s="105" t="s">
        <v>96</v>
      </c>
      <c r="C68" s="106" t="s">
        <v>97</v>
      </c>
      <c r="D68" s="107" t="s">
        <v>98</v>
      </c>
      <c r="E68" s="103" t="s">
        <v>47</v>
      </c>
      <c r="F68" s="57">
        <v>28.8</v>
      </c>
      <c r="G68" s="58">
        <v>13.11</v>
      </c>
      <c r="H68" s="58">
        <v>4.41</v>
      </c>
      <c r="I68" s="108">
        <f t="shared" si="30"/>
        <v>17.52</v>
      </c>
      <c r="J68" s="108">
        <f t="shared" si="31"/>
        <v>377.568</v>
      </c>
      <c r="K68" s="108">
        <f t="shared" si="32"/>
        <v>127.008</v>
      </c>
      <c r="L68" s="108">
        <f t="shared" si="33"/>
        <v>504.576</v>
      </c>
      <c r="M68" s="109">
        <f t="shared" si="34"/>
        <v>635.82</v>
      </c>
      <c r="N68" s="110"/>
      <c r="O68" s="110"/>
      <c r="P68" s="111"/>
      <c r="Q68" s="110"/>
      <c r="R68" s="64"/>
      <c r="S68" s="64"/>
      <c r="T68" s="64"/>
      <c r="U68" s="64"/>
      <c r="V68" s="64"/>
      <c r="W68" s="64"/>
      <c r="X68" s="64"/>
      <c r="Y68" s="64"/>
    </row>
    <row r="69">
      <c r="A69" s="122" t="s">
        <v>162</v>
      </c>
      <c r="B69" s="105" t="s">
        <v>100</v>
      </c>
      <c r="C69" s="106" t="s">
        <v>101</v>
      </c>
      <c r="D69" s="107" t="s">
        <v>102</v>
      </c>
      <c r="E69" s="103" t="s">
        <v>58</v>
      </c>
      <c r="F69" s="57">
        <v>1.9</v>
      </c>
      <c r="G69" s="58">
        <v>56.33</v>
      </c>
      <c r="H69" s="58">
        <v>56.58</v>
      </c>
      <c r="I69" s="108">
        <f t="shared" si="30"/>
        <v>112.91</v>
      </c>
      <c r="J69" s="108">
        <f t="shared" si="31"/>
        <v>107.027</v>
      </c>
      <c r="K69" s="108">
        <f t="shared" si="32"/>
        <v>107.502</v>
      </c>
      <c r="L69" s="108">
        <f t="shared" si="33"/>
        <v>214.529</v>
      </c>
      <c r="M69" s="109">
        <f t="shared" si="34"/>
        <v>270.33</v>
      </c>
      <c r="N69" s="110"/>
      <c r="O69" s="110"/>
      <c r="P69" s="111"/>
      <c r="Q69" s="110"/>
      <c r="R69" s="64"/>
      <c r="S69" s="64"/>
      <c r="T69" s="64"/>
      <c r="U69" s="64"/>
      <c r="V69" s="64"/>
      <c r="W69" s="64"/>
      <c r="X69" s="64"/>
      <c r="Y69" s="64"/>
    </row>
    <row r="70">
      <c r="A70" s="122" t="s">
        <v>163</v>
      </c>
      <c r="B70" s="105" t="s">
        <v>104</v>
      </c>
      <c r="C70" s="106" t="s">
        <v>105</v>
      </c>
      <c r="D70" s="107" t="s">
        <v>106</v>
      </c>
      <c r="E70" s="103" t="s">
        <v>58</v>
      </c>
      <c r="F70" s="57">
        <v>7.1</v>
      </c>
      <c r="G70" s="58">
        <v>59.01</v>
      </c>
      <c r="H70" s="58">
        <v>35.35</v>
      </c>
      <c r="I70" s="108">
        <f t="shared" si="30"/>
        <v>94.36</v>
      </c>
      <c r="J70" s="108">
        <f t="shared" si="31"/>
        <v>418.971</v>
      </c>
      <c r="K70" s="108">
        <f t="shared" si="32"/>
        <v>250.985</v>
      </c>
      <c r="L70" s="108">
        <f t="shared" si="33"/>
        <v>669.956</v>
      </c>
      <c r="M70" s="109">
        <f t="shared" si="34"/>
        <v>844.21</v>
      </c>
      <c r="N70" s="110"/>
      <c r="O70" s="110"/>
      <c r="P70" s="111"/>
      <c r="Q70" s="110"/>
      <c r="R70" s="64"/>
      <c r="S70" s="64"/>
      <c r="T70" s="64"/>
      <c r="U70" s="64"/>
      <c r="V70" s="64"/>
      <c r="W70" s="64"/>
      <c r="X70" s="64"/>
      <c r="Y70" s="64"/>
    </row>
    <row r="71">
      <c r="A71" s="122" t="s">
        <v>164</v>
      </c>
      <c r="B71" s="105" t="s">
        <v>108</v>
      </c>
      <c r="C71" s="106" t="s">
        <v>109</v>
      </c>
      <c r="D71" s="107" t="s">
        <v>110</v>
      </c>
      <c r="E71" s="103" t="s">
        <v>43</v>
      </c>
      <c r="F71" s="57">
        <v>0.42</v>
      </c>
      <c r="G71" s="58">
        <v>52.3</v>
      </c>
      <c r="H71" s="58">
        <v>18.85</v>
      </c>
      <c r="I71" s="108">
        <f t="shared" si="30"/>
        <v>71.15</v>
      </c>
      <c r="J71" s="108">
        <f t="shared" si="31"/>
        <v>21.966</v>
      </c>
      <c r="K71" s="108">
        <f t="shared" si="32"/>
        <v>7.917</v>
      </c>
      <c r="L71" s="108">
        <f t="shared" si="33"/>
        <v>29.883</v>
      </c>
      <c r="M71" s="109">
        <f t="shared" si="34"/>
        <v>37.66</v>
      </c>
      <c r="N71" s="110"/>
      <c r="O71" s="110"/>
      <c r="P71" s="111"/>
      <c r="Q71" s="110"/>
      <c r="R71" s="64"/>
      <c r="S71" s="64"/>
      <c r="T71" s="64"/>
      <c r="U71" s="64"/>
      <c r="V71" s="64"/>
      <c r="W71" s="64"/>
      <c r="X71" s="64"/>
      <c r="Y71" s="64"/>
    </row>
    <row r="72" ht="12.75" customHeight="1">
      <c r="A72" s="122" t="s">
        <v>165</v>
      </c>
      <c r="B72" s="101"/>
      <c r="C72" s="123"/>
      <c r="D72" s="124" t="s">
        <v>166</v>
      </c>
      <c r="E72" s="103"/>
      <c r="F72" s="57"/>
      <c r="G72" s="99"/>
      <c r="H72" s="99"/>
      <c r="I72" s="59"/>
      <c r="J72" s="59"/>
      <c r="K72" s="59"/>
      <c r="L72" s="59"/>
      <c r="M72" s="60"/>
      <c r="N72" s="3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>
      <c r="A73" s="122" t="s">
        <v>167</v>
      </c>
      <c r="B73" s="101" t="s">
        <v>168</v>
      </c>
      <c r="C73" s="85" t="s">
        <v>169</v>
      </c>
      <c r="D73" s="102" t="s">
        <v>170</v>
      </c>
      <c r="E73" s="103" t="s">
        <v>15</v>
      </c>
      <c r="F73" s="57">
        <v>1.0</v>
      </c>
      <c r="G73" s="58">
        <v>10211.91</v>
      </c>
      <c r="H73" s="58">
        <v>40.96</v>
      </c>
      <c r="I73" s="59">
        <f t="shared" ref="I73:I86" si="35">G73+H73</f>
        <v>10252.87</v>
      </c>
      <c r="J73" s="59">
        <f t="shared" ref="J73:J86" si="36">G73*F73</f>
        <v>10211.91</v>
      </c>
      <c r="K73" s="59">
        <f t="shared" ref="K73:K86" si="37">H73*F73</f>
        <v>40.96</v>
      </c>
      <c r="L73" s="59">
        <f t="shared" ref="L73:L86" si="38">ROUND(J73+K73,2)</f>
        <v>10252.87</v>
      </c>
      <c r="M73" s="60">
        <f t="shared" ref="M73:M86" si="39">ROUND(L73*(1+$M$4),2)</f>
        <v>12919.64</v>
      </c>
      <c r="N73" s="3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>
      <c r="A74" s="122" t="s">
        <v>171</v>
      </c>
      <c r="B74" s="101" t="s">
        <v>172</v>
      </c>
      <c r="C74" s="85">
        <v>91926.0</v>
      </c>
      <c r="D74" s="102" t="s">
        <v>121</v>
      </c>
      <c r="E74" s="103" t="s">
        <v>51</v>
      </c>
      <c r="F74" s="57">
        <f>4*40</f>
        <v>160</v>
      </c>
      <c r="G74" s="58">
        <v>3.04</v>
      </c>
      <c r="H74" s="58">
        <v>1.0</v>
      </c>
      <c r="I74" s="59">
        <f t="shared" si="35"/>
        <v>4.04</v>
      </c>
      <c r="J74" s="59">
        <f t="shared" si="36"/>
        <v>486.4</v>
      </c>
      <c r="K74" s="59">
        <f t="shared" si="37"/>
        <v>160</v>
      </c>
      <c r="L74" s="59">
        <f t="shared" si="38"/>
        <v>646.4</v>
      </c>
      <c r="M74" s="60">
        <f t="shared" si="39"/>
        <v>814.53</v>
      </c>
      <c r="N74" s="3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>
      <c r="A75" s="122" t="s">
        <v>173</v>
      </c>
      <c r="B75" s="101" t="s">
        <v>172</v>
      </c>
      <c r="C75" s="85">
        <v>91837.0</v>
      </c>
      <c r="D75" s="102" t="s">
        <v>174</v>
      </c>
      <c r="E75" s="103" t="s">
        <v>51</v>
      </c>
      <c r="F75" s="57">
        <v>40.0</v>
      </c>
      <c r="G75" s="58">
        <v>12.15</v>
      </c>
      <c r="H75" s="58">
        <v>4.45</v>
      </c>
      <c r="I75" s="59">
        <f t="shared" si="35"/>
        <v>16.6</v>
      </c>
      <c r="J75" s="59">
        <f t="shared" si="36"/>
        <v>486</v>
      </c>
      <c r="K75" s="59">
        <f t="shared" si="37"/>
        <v>178</v>
      </c>
      <c r="L75" s="59">
        <f t="shared" si="38"/>
        <v>664</v>
      </c>
      <c r="M75" s="60">
        <f t="shared" si="39"/>
        <v>836.71</v>
      </c>
      <c r="N75" s="3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>
      <c r="A76" s="122" t="s">
        <v>175</v>
      </c>
      <c r="B76" s="101" t="s">
        <v>172</v>
      </c>
      <c r="C76" s="85">
        <v>90091.0</v>
      </c>
      <c r="D76" s="102" t="s">
        <v>142</v>
      </c>
      <c r="E76" s="103" t="s">
        <v>43</v>
      </c>
      <c r="F76" s="57">
        <f t="shared" ref="F76:F77" si="40">40*0.3*0.5</f>
        <v>6</v>
      </c>
      <c r="G76" s="58">
        <v>4.85</v>
      </c>
      <c r="H76" s="58">
        <v>1.17</v>
      </c>
      <c r="I76" s="59">
        <f t="shared" si="35"/>
        <v>6.02</v>
      </c>
      <c r="J76" s="59">
        <f t="shared" si="36"/>
        <v>29.1</v>
      </c>
      <c r="K76" s="59">
        <f t="shared" si="37"/>
        <v>7.02</v>
      </c>
      <c r="L76" s="59">
        <f t="shared" si="38"/>
        <v>36.12</v>
      </c>
      <c r="M76" s="60">
        <f t="shared" si="39"/>
        <v>45.51</v>
      </c>
      <c r="N76" s="3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>
      <c r="A77" s="122" t="s">
        <v>176</v>
      </c>
      <c r="B77" s="101" t="s">
        <v>172</v>
      </c>
      <c r="C77" s="85">
        <v>93376.0</v>
      </c>
      <c r="D77" s="102" t="s">
        <v>145</v>
      </c>
      <c r="E77" s="103" t="s">
        <v>43</v>
      </c>
      <c r="F77" s="57">
        <f t="shared" si="40"/>
        <v>6</v>
      </c>
      <c r="G77" s="58">
        <v>9.59</v>
      </c>
      <c r="H77" s="58">
        <v>6.42</v>
      </c>
      <c r="I77" s="59">
        <f t="shared" si="35"/>
        <v>16.01</v>
      </c>
      <c r="J77" s="59">
        <f t="shared" si="36"/>
        <v>57.54</v>
      </c>
      <c r="K77" s="59">
        <f t="shared" si="37"/>
        <v>38.52</v>
      </c>
      <c r="L77" s="59">
        <f t="shared" si="38"/>
        <v>96.06</v>
      </c>
      <c r="M77" s="60">
        <f t="shared" si="39"/>
        <v>121.05</v>
      </c>
      <c r="N77" s="3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>
      <c r="A78" s="122" t="s">
        <v>177</v>
      </c>
      <c r="B78" s="101" t="s">
        <v>178</v>
      </c>
      <c r="C78" s="85">
        <v>92367.0</v>
      </c>
      <c r="D78" s="102" t="s">
        <v>124</v>
      </c>
      <c r="E78" s="103" t="s">
        <v>51</v>
      </c>
      <c r="F78" s="57">
        <v>4.0</v>
      </c>
      <c r="G78" s="58">
        <v>122.28</v>
      </c>
      <c r="H78" s="58">
        <v>8.08</v>
      </c>
      <c r="I78" s="59">
        <f t="shared" si="35"/>
        <v>130.36</v>
      </c>
      <c r="J78" s="59">
        <f t="shared" si="36"/>
        <v>489.12</v>
      </c>
      <c r="K78" s="59">
        <f t="shared" si="37"/>
        <v>32.32</v>
      </c>
      <c r="L78" s="59">
        <f t="shared" si="38"/>
        <v>521.44</v>
      </c>
      <c r="M78" s="60">
        <f t="shared" si="39"/>
        <v>657.07</v>
      </c>
      <c r="N78" s="3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>
      <c r="A79" s="122" t="s">
        <v>179</v>
      </c>
      <c r="B79" s="101" t="s">
        <v>180</v>
      </c>
      <c r="C79" s="85">
        <v>92353.0</v>
      </c>
      <c r="D79" s="102" t="s">
        <v>151</v>
      </c>
      <c r="E79" s="103" t="s">
        <v>15</v>
      </c>
      <c r="F79" s="57">
        <v>5.0</v>
      </c>
      <c r="G79" s="58">
        <v>119.61</v>
      </c>
      <c r="H79" s="58">
        <v>34.76</v>
      </c>
      <c r="I79" s="59">
        <f t="shared" si="35"/>
        <v>154.37</v>
      </c>
      <c r="J79" s="59">
        <f t="shared" si="36"/>
        <v>598.05</v>
      </c>
      <c r="K79" s="59">
        <f t="shared" si="37"/>
        <v>173.8</v>
      </c>
      <c r="L79" s="59">
        <f t="shared" si="38"/>
        <v>771.85</v>
      </c>
      <c r="M79" s="60">
        <f t="shared" si="39"/>
        <v>972.61</v>
      </c>
      <c r="N79" s="3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>
      <c r="A80" s="122" t="s">
        <v>181</v>
      </c>
      <c r="B80" s="101" t="s">
        <v>182</v>
      </c>
      <c r="C80" s="85">
        <v>94499.0</v>
      </c>
      <c r="D80" s="102" t="s">
        <v>126</v>
      </c>
      <c r="E80" s="103" t="s">
        <v>15</v>
      </c>
      <c r="F80" s="57">
        <v>2.0</v>
      </c>
      <c r="G80" s="58">
        <v>245.45</v>
      </c>
      <c r="H80" s="58">
        <v>15.01</v>
      </c>
      <c r="I80" s="59">
        <f t="shared" si="35"/>
        <v>260.46</v>
      </c>
      <c r="J80" s="59">
        <f t="shared" si="36"/>
        <v>490.9</v>
      </c>
      <c r="K80" s="59">
        <f t="shared" si="37"/>
        <v>30.02</v>
      </c>
      <c r="L80" s="59">
        <f t="shared" si="38"/>
        <v>520.92</v>
      </c>
      <c r="M80" s="60">
        <f t="shared" si="39"/>
        <v>656.41</v>
      </c>
      <c r="N80" s="3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>
      <c r="A81" s="122" t="s">
        <v>183</v>
      </c>
      <c r="B81" s="101" t="s">
        <v>184</v>
      </c>
      <c r="C81" s="85">
        <v>99633.0</v>
      </c>
      <c r="D81" s="102" t="s">
        <v>134</v>
      </c>
      <c r="E81" s="103" t="s">
        <v>15</v>
      </c>
      <c r="F81" s="57">
        <v>1.0</v>
      </c>
      <c r="G81" s="58">
        <v>365.31</v>
      </c>
      <c r="H81" s="58">
        <v>18.8</v>
      </c>
      <c r="I81" s="59">
        <f t="shared" si="35"/>
        <v>384.11</v>
      </c>
      <c r="J81" s="59">
        <f t="shared" si="36"/>
        <v>365.31</v>
      </c>
      <c r="K81" s="59">
        <f t="shared" si="37"/>
        <v>18.8</v>
      </c>
      <c r="L81" s="59">
        <f t="shared" si="38"/>
        <v>384.11</v>
      </c>
      <c r="M81" s="60">
        <f t="shared" si="39"/>
        <v>484.02</v>
      </c>
      <c r="N81" s="3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>
      <c r="A82" s="122" t="s">
        <v>185</v>
      </c>
      <c r="B82" s="101" t="s">
        <v>157</v>
      </c>
      <c r="C82" s="85">
        <v>92377.0</v>
      </c>
      <c r="D82" s="102" t="s">
        <v>128</v>
      </c>
      <c r="E82" s="103" t="s">
        <v>15</v>
      </c>
      <c r="F82" s="57">
        <v>8.0</v>
      </c>
      <c r="G82" s="58">
        <v>72.55</v>
      </c>
      <c r="H82" s="58">
        <v>24.31</v>
      </c>
      <c r="I82" s="59">
        <f t="shared" si="35"/>
        <v>96.86</v>
      </c>
      <c r="J82" s="59">
        <f t="shared" si="36"/>
        <v>580.4</v>
      </c>
      <c r="K82" s="59">
        <f t="shared" si="37"/>
        <v>194.48</v>
      </c>
      <c r="L82" s="59">
        <f t="shared" si="38"/>
        <v>774.88</v>
      </c>
      <c r="M82" s="60">
        <f t="shared" si="39"/>
        <v>976.43</v>
      </c>
      <c r="N82" s="3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>
      <c r="A83" s="122" t="s">
        <v>186</v>
      </c>
      <c r="B83" s="101" t="s">
        <v>187</v>
      </c>
      <c r="C83" s="95" t="s">
        <v>114</v>
      </c>
      <c r="D83" s="102" t="s">
        <v>115</v>
      </c>
      <c r="E83" s="103" t="s">
        <v>15</v>
      </c>
      <c r="F83" s="57">
        <v>1.0</v>
      </c>
      <c r="G83" s="58">
        <v>49.03</v>
      </c>
      <c r="H83" s="58">
        <v>10.27</v>
      </c>
      <c r="I83" s="59">
        <f t="shared" si="35"/>
        <v>59.3</v>
      </c>
      <c r="J83" s="59">
        <f t="shared" si="36"/>
        <v>49.03</v>
      </c>
      <c r="K83" s="59">
        <f t="shared" si="37"/>
        <v>10.27</v>
      </c>
      <c r="L83" s="59">
        <f t="shared" si="38"/>
        <v>59.3</v>
      </c>
      <c r="M83" s="60">
        <f t="shared" si="39"/>
        <v>74.72</v>
      </c>
      <c r="N83" s="3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>
      <c r="A84" s="122" t="s">
        <v>188</v>
      </c>
      <c r="B84" s="101" t="s">
        <v>189</v>
      </c>
      <c r="C84" s="95">
        <v>102136.0</v>
      </c>
      <c r="D84" s="102" t="s">
        <v>190</v>
      </c>
      <c r="E84" s="103" t="s">
        <v>15</v>
      </c>
      <c r="F84" s="57">
        <v>1.0</v>
      </c>
      <c r="G84" s="58">
        <v>19.62</v>
      </c>
      <c r="H84" s="58">
        <v>47.14</v>
      </c>
      <c r="I84" s="59">
        <f t="shared" si="35"/>
        <v>66.76</v>
      </c>
      <c r="J84" s="59">
        <f t="shared" si="36"/>
        <v>19.62</v>
      </c>
      <c r="K84" s="59">
        <f t="shared" si="37"/>
        <v>47.14</v>
      </c>
      <c r="L84" s="59">
        <f t="shared" si="38"/>
        <v>66.76</v>
      </c>
      <c r="M84" s="60">
        <f t="shared" si="39"/>
        <v>84.12</v>
      </c>
      <c r="N84" s="3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>
      <c r="A85" s="122" t="s">
        <v>191</v>
      </c>
      <c r="B85" s="101" t="s">
        <v>192</v>
      </c>
      <c r="C85" s="95" t="s">
        <v>117</v>
      </c>
      <c r="D85" s="102" t="s">
        <v>118</v>
      </c>
      <c r="E85" s="103" t="s">
        <v>15</v>
      </c>
      <c r="F85" s="57">
        <v>1.0</v>
      </c>
      <c r="G85" s="58">
        <v>68.29</v>
      </c>
      <c r="H85" s="58">
        <v>9.07</v>
      </c>
      <c r="I85" s="59">
        <f t="shared" si="35"/>
        <v>77.36</v>
      </c>
      <c r="J85" s="59">
        <f t="shared" si="36"/>
        <v>68.29</v>
      </c>
      <c r="K85" s="59">
        <f t="shared" si="37"/>
        <v>9.07</v>
      </c>
      <c r="L85" s="59">
        <f t="shared" si="38"/>
        <v>77.36</v>
      </c>
      <c r="M85" s="60">
        <f t="shared" si="39"/>
        <v>97.48</v>
      </c>
      <c r="N85" s="3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>
      <c r="A86" s="122" t="s">
        <v>193</v>
      </c>
      <c r="B86" s="101" t="s">
        <v>194</v>
      </c>
      <c r="C86" s="85">
        <v>101917.0</v>
      </c>
      <c r="D86" s="102" t="s">
        <v>195</v>
      </c>
      <c r="E86" s="103" t="s">
        <v>15</v>
      </c>
      <c r="F86" s="57">
        <v>1.0</v>
      </c>
      <c r="G86" s="58">
        <v>117.42</v>
      </c>
      <c r="H86" s="58">
        <v>27.85</v>
      </c>
      <c r="I86" s="59">
        <f t="shared" si="35"/>
        <v>145.27</v>
      </c>
      <c r="J86" s="59">
        <f t="shared" si="36"/>
        <v>117.42</v>
      </c>
      <c r="K86" s="59">
        <f t="shared" si="37"/>
        <v>27.85</v>
      </c>
      <c r="L86" s="59">
        <f t="shared" si="38"/>
        <v>145.27</v>
      </c>
      <c r="M86" s="60">
        <f t="shared" si="39"/>
        <v>183.05</v>
      </c>
      <c r="N86" s="3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ht="12.75" customHeight="1">
      <c r="A87" s="4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5"/>
      <c r="N87" s="3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ht="12.75" customHeight="1">
      <c r="A88" s="115" t="s">
        <v>196</v>
      </c>
      <c r="B88" s="116"/>
      <c r="C88" s="117"/>
      <c r="D88" s="78" t="s">
        <v>197</v>
      </c>
      <c r="E88" s="34"/>
      <c r="F88" s="34"/>
      <c r="G88" s="34"/>
      <c r="H88" s="34"/>
      <c r="I88" s="35"/>
      <c r="J88" s="79">
        <f t="shared" ref="J88:M88" si="41">SUM(J89:J95)</f>
        <v>9196.09</v>
      </c>
      <c r="K88" s="79">
        <f t="shared" si="41"/>
        <v>794.2</v>
      </c>
      <c r="L88" s="79">
        <f t="shared" si="41"/>
        <v>9990.29</v>
      </c>
      <c r="M88" s="79">
        <f t="shared" si="41"/>
        <v>12588.75</v>
      </c>
      <c r="N88" s="74">
        <f>M88</f>
        <v>12588.75</v>
      </c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>
      <c r="A89" s="93" t="s">
        <v>198</v>
      </c>
      <c r="B89" s="101" t="s">
        <v>178</v>
      </c>
      <c r="C89" s="85">
        <v>92367.0</v>
      </c>
      <c r="D89" s="102" t="s">
        <v>124</v>
      </c>
      <c r="E89" s="103" t="s">
        <v>51</v>
      </c>
      <c r="F89" s="57">
        <f>45+2</f>
        <v>47</v>
      </c>
      <c r="G89" s="58">
        <v>122.28</v>
      </c>
      <c r="H89" s="58">
        <v>8.08</v>
      </c>
      <c r="I89" s="59">
        <f t="shared" ref="I89:I95" si="42">G89+H89</f>
        <v>130.36</v>
      </c>
      <c r="J89" s="59">
        <f t="shared" ref="J89:J95" si="43">G89*F89</f>
        <v>5747.16</v>
      </c>
      <c r="K89" s="59">
        <f t="shared" ref="K89:K95" si="44">H89*F89</f>
        <v>379.76</v>
      </c>
      <c r="L89" s="59">
        <f t="shared" ref="L89:L95" si="45">ROUND(J89+K89,2)</f>
        <v>6126.92</v>
      </c>
      <c r="M89" s="60">
        <f t="shared" ref="M89:M95" si="46">ROUND(L89*(1+$M$4),2)</f>
        <v>7720.53</v>
      </c>
      <c r="N89" s="3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>
      <c r="A90" s="93" t="s">
        <v>199</v>
      </c>
      <c r="B90" s="101" t="s">
        <v>200</v>
      </c>
      <c r="C90" s="85">
        <v>92357.0</v>
      </c>
      <c r="D90" s="102" t="s">
        <v>149</v>
      </c>
      <c r="E90" s="103" t="s">
        <v>15</v>
      </c>
      <c r="F90" s="57">
        <v>1.0</v>
      </c>
      <c r="G90" s="58">
        <v>165.36</v>
      </c>
      <c r="H90" s="58">
        <v>46.36</v>
      </c>
      <c r="I90" s="59">
        <f t="shared" si="42"/>
        <v>211.72</v>
      </c>
      <c r="J90" s="59">
        <f t="shared" si="43"/>
        <v>165.36</v>
      </c>
      <c r="K90" s="59">
        <f t="shared" si="44"/>
        <v>46.36</v>
      </c>
      <c r="L90" s="59">
        <f t="shared" si="45"/>
        <v>211.72</v>
      </c>
      <c r="M90" s="60">
        <f t="shared" si="46"/>
        <v>266.79</v>
      </c>
      <c r="N90" s="3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>
      <c r="A91" s="93" t="s">
        <v>201</v>
      </c>
      <c r="B91" s="101" t="s">
        <v>202</v>
      </c>
      <c r="C91" s="85" t="s">
        <v>203</v>
      </c>
      <c r="D91" s="102" t="s">
        <v>204</v>
      </c>
      <c r="E91" s="103" t="s">
        <v>15</v>
      </c>
      <c r="F91" s="57">
        <v>1.0</v>
      </c>
      <c r="G91" s="58">
        <f>1474.05-393.22</f>
        <v>1080.83</v>
      </c>
      <c r="H91" s="58">
        <v>100.35</v>
      </c>
      <c r="I91" s="59">
        <f t="shared" si="42"/>
        <v>1181.18</v>
      </c>
      <c r="J91" s="59">
        <f t="shared" si="43"/>
        <v>1080.83</v>
      </c>
      <c r="K91" s="59">
        <f t="shared" si="44"/>
        <v>100.35</v>
      </c>
      <c r="L91" s="59">
        <f t="shared" si="45"/>
        <v>1181.18</v>
      </c>
      <c r="M91" s="60">
        <f t="shared" si="46"/>
        <v>1488.4</v>
      </c>
      <c r="N91" s="3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>
      <c r="A92" s="93" t="s">
        <v>205</v>
      </c>
      <c r="B92" s="101" t="s">
        <v>206</v>
      </c>
      <c r="C92" s="85" t="s">
        <v>207</v>
      </c>
      <c r="D92" s="102" t="s">
        <v>208</v>
      </c>
      <c r="E92" s="103" t="s">
        <v>15</v>
      </c>
      <c r="F92" s="57">
        <v>2.0</v>
      </c>
      <c r="G92" s="58">
        <v>633.26</v>
      </c>
      <c r="H92" s="58">
        <v>0.0</v>
      </c>
      <c r="I92" s="59">
        <f t="shared" si="42"/>
        <v>633.26</v>
      </c>
      <c r="J92" s="59">
        <f t="shared" si="43"/>
        <v>1266.52</v>
      </c>
      <c r="K92" s="59">
        <f t="shared" si="44"/>
        <v>0</v>
      </c>
      <c r="L92" s="59">
        <f t="shared" si="45"/>
        <v>1266.52</v>
      </c>
      <c r="M92" s="60">
        <f t="shared" si="46"/>
        <v>1595.94</v>
      </c>
      <c r="N92" s="3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>
      <c r="A93" s="93" t="s">
        <v>209</v>
      </c>
      <c r="B93" s="101" t="s">
        <v>210</v>
      </c>
      <c r="C93" s="85">
        <v>92347.0</v>
      </c>
      <c r="D93" s="102" t="s">
        <v>155</v>
      </c>
      <c r="E93" s="103" t="s">
        <v>15</v>
      </c>
      <c r="F93" s="57">
        <v>6.0</v>
      </c>
      <c r="G93" s="58">
        <v>84.14</v>
      </c>
      <c r="H93" s="58">
        <v>23.19</v>
      </c>
      <c r="I93" s="59">
        <f t="shared" si="42"/>
        <v>107.33</v>
      </c>
      <c r="J93" s="59">
        <f t="shared" si="43"/>
        <v>504.84</v>
      </c>
      <c r="K93" s="59">
        <f t="shared" si="44"/>
        <v>139.14</v>
      </c>
      <c r="L93" s="59">
        <f t="shared" si="45"/>
        <v>643.98</v>
      </c>
      <c r="M93" s="60">
        <f t="shared" si="46"/>
        <v>811.48</v>
      </c>
      <c r="N93" s="3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>
      <c r="A94" s="93" t="s">
        <v>211</v>
      </c>
      <c r="B94" s="101" t="s">
        <v>180</v>
      </c>
      <c r="C94" s="85">
        <v>92353.0</v>
      </c>
      <c r="D94" s="102" t="s">
        <v>151</v>
      </c>
      <c r="E94" s="103" t="s">
        <v>15</v>
      </c>
      <c r="F94" s="57">
        <v>3.0</v>
      </c>
      <c r="G94" s="58">
        <v>119.61</v>
      </c>
      <c r="H94" s="58">
        <v>34.76</v>
      </c>
      <c r="I94" s="59">
        <f t="shared" si="42"/>
        <v>154.37</v>
      </c>
      <c r="J94" s="59">
        <f t="shared" si="43"/>
        <v>358.83</v>
      </c>
      <c r="K94" s="59">
        <f t="shared" si="44"/>
        <v>104.28</v>
      </c>
      <c r="L94" s="59">
        <f t="shared" si="45"/>
        <v>463.11</v>
      </c>
      <c r="M94" s="60">
        <f t="shared" si="46"/>
        <v>583.56</v>
      </c>
      <c r="N94" s="3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>
      <c r="A95" s="93" t="s">
        <v>212</v>
      </c>
      <c r="B95" s="101" t="s">
        <v>157</v>
      </c>
      <c r="C95" s="85">
        <v>92377.0</v>
      </c>
      <c r="D95" s="102" t="s">
        <v>128</v>
      </c>
      <c r="E95" s="103" t="s">
        <v>15</v>
      </c>
      <c r="F95" s="57">
        <v>1.0</v>
      </c>
      <c r="G95" s="58">
        <v>72.55</v>
      </c>
      <c r="H95" s="58">
        <v>24.31</v>
      </c>
      <c r="I95" s="59">
        <f t="shared" si="42"/>
        <v>96.86</v>
      </c>
      <c r="J95" s="59">
        <f t="shared" si="43"/>
        <v>72.55</v>
      </c>
      <c r="K95" s="59">
        <f t="shared" si="44"/>
        <v>24.31</v>
      </c>
      <c r="L95" s="59">
        <f t="shared" si="45"/>
        <v>96.86</v>
      </c>
      <c r="M95" s="60">
        <f t="shared" si="46"/>
        <v>122.05</v>
      </c>
      <c r="N95" s="3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ht="12.75" customHeight="1">
      <c r="A96" s="4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5"/>
      <c r="N96" s="3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ht="12.75" customHeight="1">
      <c r="A97" s="115" t="s">
        <v>213</v>
      </c>
      <c r="B97" s="116"/>
      <c r="C97" s="117"/>
      <c r="D97" s="78" t="s">
        <v>214</v>
      </c>
      <c r="E97" s="34"/>
      <c r="F97" s="34"/>
      <c r="G97" s="34"/>
      <c r="H97" s="34"/>
      <c r="I97" s="35"/>
      <c r="J97" s="79">
        <f t="shared" ref="J97:M97" si="47">SUM(J98:J104)</f>
        <v>16175.42</v>
      </c>
      <c r="K97" s="79">
        <f t="shared" si="47"/>
        <v>1336.14</v>
      </c>
      <c r="L97" s="79">
        <f t="shared" si="47"/>
        <v>17511.56</v>
      </c>
      <c r="M97" s="79">
        <f t="shared" si="47"/>
        <v>22066.32</v>
      </c>
      <c r="N97" s="74">
        <f>M97</f>
        <v>22066.32</v>
      </c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>
      <c r="A98" s="93" t="s">
        <v>215</v>
      </c>
      <c r="B98" s="101" t="s">
        <v>178</v>
      </c>
      <c r="C98" s="85">
        <v>92367.0</v>
      </c>
      <c r="D98" s="102" t="s">
        <v>124</v>
      </c>
      <c r="E98" s="103" t="s">
        <v>51</v>
      </c>
      <c r="F98" s="57">
        <v>80.0</v>
      </c>
      <c r="G98" s="58">
        <v>122.28</v>
      </c>
      <c r="H98" s="58">
        <v>8.08</v>
      </c>
      <c r="I98" s="59">
        <f t="shared" ref="I98:I104" si="48">G98+H98</f>
        <v>130.36</v>
      </c>
      <c r="J98" s="59">
        <f t="shared" ref="J98:J104" si="49">G98*F98</f>
        <v>9782.4</v>
      </c>
      <c r="K98" s="59">
        <f t="shared" ref="K98:K104" si="50">H98*F98</f>
        <v>646.4</v>
      </c>
      <c r="L98" s="59">
        <f t="shared" ref="L98:L104" si="51">ROUND(J98+K98,2)</f>
        <v>10428.8</v>
      </c>
      <c r="M98" s="60">
        <f t="shared" ref="M98:M104" si="52">ROUND(L98*(1+$M$4),2)</f>
        <v>13141.33</v>
      </c>
      <c r="N98" s="3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>
      <c r="A99" s="93" t="s">
        <v>216</v>
      </c>
      <c r="B99" s="101" t="s">
        <v>200</v>
      </c>
      <c r="C99" s="85">
        <v>92357.0</v>
      </c>
      <c r="D99" s="102" t="s">
        <v>149</v>
      </c>
      <c r="E99" s="103" t="s">
        <v>15</v>
      </c>
      <c r="F99" s="57">
        <v>2.0</v>
      </c>
      <c r="G99" s="58">
        <v>165.36</v>
      </c>
      <c r="H99" s="58">
        <v>46.36</v>
      </c>
      <c r="I99" s="59">
        <f t="shared" si="48"/>
        <v>211.72</v>
      </c>
      <c r="J99" s="59">
        <f t="shared" si="49"/>
        <v>330.72</v>
      </c>
      <c r="K99" s="59">
        <f t="shared" si="50"/>
        <v>92.72</v>
      </c>
      <c r="L99" s="59">
        <f t="shared" si="51"/>
        <v>423.44</v>
      </c>
      <c r="M99" s="60">
        <f t="shared" si="52"/>
        <v>533.58</v>
      </c>
      <c r="N99" s="3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>
      <c r="A100" s="93" t="s">
        <v>217</v>
      </c>
      <c r="B100" s="101" t="s">
        <v>202</v>
      </c>
      <c r="C100" s="85" t="s">
        <v>203</v>
      </c>
      <c r="D100" s="102" t="s">
        <v>204</v>
      </c>
      <c r="E100" s="103" t="s">
        <v>15</v>
      </c>
      <c r="F100" s="57">
        <v>2.0</v>
      </c>
      <c r="G100" s="58">
        <f>1474.05-393.22</f>
        <v>1080.83</v>
      </c>
      <c r="H100" s="58">
        <v>100.35</v>
      </c>
      <c r="I100" s="59">
        <f t="shared" si="48"/>
        <v>1181.18</v>
      </c>
      <c r="J100" s="59">
        <f t="shared" si="49"/>
        <v>2161.66</v>
      </c>
      <c r="K100" s="59">
        <f t="shared" si="50"/>
        <v>200.7</v>
      </c>
      <c r="L100" s="59">
        <f t="shared" si="51"/>
        <v>2362.36</v>
      </c>
      <c r="M100" s="60">
        <f t="shared" si="52"/>
        <v>2976.81</v>
      </c>
      <c r="N100" s="3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>
      <c r="A101" s="93" t="s">
        <v>218</v>
      </c>
      <c r="B101" s="101" t="s">
        <v>206</v>
      </c>
      <c r="C101" s="85" t="s">
        <v>207</v>
      </c>
      <c r="D101" s="102" t="s">
        <v>208</v>
      </c>
      <c r="E101" s="103" t="s">
        <v>15</v>
      </c>
      <c r="F101" s="57">
        <v>4.0</v>
      </c>
      <c r="G101" s="58">
        <v>633.26</v>
      </c>
      <c r="H101" s="58">
        <v>0.0</v>
      </c>
      <c r="I101" s="59">
        <f t="shared" si="48"/>
        <v>633.26</v>
      </c>
      <c r="J101" s="59">
        <f t="shared" si="49"/>
        <v>2533.04</v>
      </c>
      <c r="K101" s="59">
        <f t="shared" si="50"/>
        <v>0</v>
      </c>
      <c r="L101" s="59">
        <f t="shared" si="51"/>
        <v>2533.04</v>
      </c>
      <c r="M101" s="60">
        <f t="shared" si="52"/>
        <v>3191.88</v>
      </c>
      <c r="N101" s="3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>
      <c r="A102" s="93" t="s">
        <v>219</v>
      </c>
      <c r="B102" s="101" t="s">
        <v>210</v>
      </c>
      <c r="C102" s="85">
        <v>92347.0</v>
      </c>
      <c r="D102" s="102" t="s">
        <v>155</v>
      </c>
      <c r="E102" s="103" t="s">
        <v>15</v>
      </c>
      <c r="F102" s="57">
        <v>6.0</v>
      </c>
      <c r="G102" s="58">
        <v>84.14</v>
      </c>
      <c r="H102" s="58">
        <v>23.19</v>
      </c>
      <c r="I102" s="59">
        <f t="shared" si="48"/>
        <v>107.33</v>
      </c>
      <c r="J102" s="59">
        <f t="shared" si="49"/>
        <v>504.84</v>
      </c>
      <c r="K102" s="59">
        <f t="shared" si="50"/>
        <v>139.14</v>
      </c>
      <c r="L102" s="59">
        <f t="shared" si="51"/>
        <v>643.98</v>
      </c>
      <c r="M102" s="60">
        <f t="shared" si="52"/>
        <v>811.48</v>
      </c>
      <c r="N102" s="3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>
      <c r="A103" s="93" t="s">
        <v>220</v>
      </c>
      <c r="B103" s="101" t="s">
        <v>180</v>
      </c>
      <c r="C103" s="85">
        <v>92353.0</v>
      </c>
      <c r="D103" s="102" t="s">
        <v>151</v>
      </c>
      <c r="E103" s="103" t="s">
        <v>15</v>
      </c>
      <c r="F103" s="57">
        <v>6.0</v>
      </c>
      <c r="G103" s="58">
        <v>119.61</v>
      </c>
      <c r="H103" s="58">
        <v>34.76</v>
      </c>
      <c r="I103" s="59">
        <f t="shared" si="48"/>
        <v>154.37</v>
      </c>
      <c r="J103" s="59">
        <f t="shared" si="49"/>
        <v>717.66</v>
      </c>
      <c r="K103" s="59">
        <f t="shared" si="50"/>
        <v>208.56</v>
      </c>
      <c r="L103" s="59">
        <f t="shared" si="51"/>
        <v>926.22</v>
      </c>
      <c r="M103" s="60">
        <f t="shared" si="52"/>
        <v>1167.13</v>
      </c>
      <c r="N103" s="3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>
      <c r="A104" s="93" t="s">
        <v>221</v>
      </c>
      <c r="B104" s="101" t="s">
        <v>157</v>
      </c>
      <c r="C104" s="85">
        <v>92377.0</v>
      </c>
      <c r="D104" s="102" t="s">
        <v>128</v>
      </c>
      <c r="E104" s="103" t="s">
        <v>15</v>
      </c>
      <c r="F104" s="57">
        <v>2.0</v>
      </c>
      <c r="G104" s="58">
        <v>72.55</v>
      </c>
      <c r="H104" s="58">
        <v>24.31</v>
      </c>
      <c r="I104" s="59">
        <f t="shared" si="48"/>
        <v>96.86</v>
      </c>
      <c r="J104" s="59">
        <f t="shared" si="49"/>
        <v>145.1</v>
      </c>
      <c r="K104" s="59">
        <f t="shared" si="50"/>
        <v>48.62</v>
      </c>
      <c r="L104" s="59">
        <f t="shared" si="51"/>
        <v>193.72</v>
      </c>
      <c r="M104" s="60">
        <f t="shared" si="52"/>
        <v>244.11</v>
      </c>
      <c r="N104" s="3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ht="12.75" customHeight="1">
      <c r="A105" s="44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5"/>
      <c r="N105" s="3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ht="12.75" customHeight="1">
      <c r="A106" s="115" t="s">
        <v>222</v>
      </c>
      <c r="B106" s="116"/>
      <c r="C106" s="117"/>
      <c r="D106" s="78" t="s">
        <v>223</v>
      </c>
      <c r="E106" s="34"/>
      <c r="F106" s="34"/>
      <c r="G106" s="34"/>
      <c r="H106" s="34"/>
      <c r="I106" s="35"/>
      <c r="J106" s="79">
        <f t="shared" ref="J106:M106" si="53">SUM(J107:J113)</f>
        <v>16534.5</v>
      </c>
      <c r="K106" s="79">
        <f t="shared" si="53"/>
        <v>1467.12</v>
      </c>
      <c r="L106" s="79">
        <f t="shared" si="53"/>
        <v>18001.62</v>
      </c>
      <c r="M106" s="79">
        <f t="shared" si="53"/>
        <v>22683.84</v>
      </c>
      <c r="N106" s="74">
        <f>M106</f>
        <v>22683.84</v>
      </c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>
      <c r="A107" s="93" t="s">
        <v>224</v>
      </c>
      <c r="B107" s="101" t="s">
        <v>178</v>
      </c>
      <c r="C107" s="85">
        <v>92367.0</v>
      </c>
      <c r="D107" s="102" t="s">
        <v>124</v>
      </c>
      <c r="E107" s="103" t="s">
        <v>51</v>
      </c>
      <c r="F107" s="57">
        <v>79.0</v>
      </c>
      <c r="G107" s="58">
        <v>122.28</v>
      </c>
      <c r="H107" s="58">
        <v>8.08</v>
      </c>
      <c r="I107" s="59">
        <f t="shared" ref="I107:I113" si="54">G107+H107</f>
        <v>130.36</v>
      </c>
      <c r="J107" s="59">
        <f t="shared" ref="J107:J113" si="55">G107*F107</f>
        <v>9660.12</v>
      </c>
      <c r="K107" s="59">
        <f t="shared" ref="K107:K113" si="56">H107*F107</f>
        <v>638.32</v>
      </c>
      <c r="L107" s="59">
        <f t="shared" ref="L107:L113" si="57">ROUND(J107+K107,2)</f>
        <v>10298.44</v>
      </c>
      <c r="M107" s="60">
        <f t="shared" ref="M107:M113" si="58">ROUND(L107*(1+$M$4),2)</f>
        <v>12977.06</v>
      </c>
      <c r="N107" s="3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>
      <c r="A108" s="93" t="s">
        <v>225</v>
      </c>
      <c r="B108" s="101" t="s">
        <v>200</v>
      </c>
      <c r="C108" s="85">
        <v>92357.0</v>
      </c>
      <c r="D108" s="102" t="s">
        <v>149</v>
      </c>
      <c r="E108" s="103" t="s">
        <v>15</v>
      </c>
      <c r="F108" s="57">
        <v>1.0</v>
      </c>
      <c r="G108" s="58">
        <v>165.36</v>
      </c>
      <c r="H108" s="58">
        <v>46.36</v>
      </c>
      <c r="I108" s="59">
        <f t="shared" si="54"/>
        <v>211.72</v>
      </c>
      <c r="J108" s="59">
        <f t="shared" si="55"/>
        <v>165.36</v>
      </c>
      <c r="K108" s="59">
        <f t="shared" si="56"/>
        <v>46.36</v>
      </c>
      <c r="L108" s="59">
        <f t="shared" si="57"/>
        <v>211.72</v>
      </c>
      <c r="M108" s="60">
        <f t="shared" si="58"/>
        <v>266.79</v>
      </c>
      <c r="N108" s="3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>
      <c r="A109" s="93" t="s">
        <v>226</v>
      </c>
      <c r="B109" s="101" t="s">
        <v>202</v>
      </c>
      <c r="C109" s="85" t="s">
        <v>203</v>
      </c>
      <c r="D109" s="102" t="s">
        <v>204</v>
      </c>
      <c r="E109" s="103" t="s">
        <v>15</v>
      </c>
      <c r="F109" s="57">
        <v>2.0</v>
      </c>
      <c r="G109" s="58">
        <f>1474.05-393.22</f>
        <v>1080.83</v>
      </c>
      <c r="H109" s="58">
        <v>100.35</v>
      </c>
      <c r="I109" s="59">
        <f t="shared" si="54"/>
        <v>1181.18</v>
      </c>
      <c r="J109" s="59">
        <f t="shared" si="55"/>
        <v>2161.66</v>
      </c>
      <c r="K109" s="59">
        <f t="shared" si="56"/>
        <v>200.7</v>
      </c>
      <c r="L109" s="59">
        <f t="shared" si="57"/>
        <v>2362.36</v>
      </c>
      <c r="M109" s="60">
        <f t="shared" si="58"/>
        <v>2976.81</v>
      </c>
      <c r="N109" s="3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>
      <c r="A110" s="93" t="s">
        <v>227</v>
      </c>
      <c r="B110" s="101" t="s">
        <v>206</v>
      </c>
      <c r="C110" s="85" t="s">
        <v>207</v>
      </c>
      <c r="D110" s="102" t="s">
        <v>208</v>
      </c>
      <c r="E110" s="103" t="s">
        <v>15</v>
      </c>
      <c r="F110" s="57">
        <v>4.0</v>
      </c>
      <c r="G110" s="58">
        <v>633.26</v>
      </c>
      <c r="H110" s="58">
        <v>0.0</v>
      </c>
      <c r="I110" s="59">
        <f t="shared" si="54"/>
        <v>633.26</v>
      </c>
      <c r="J110" s="59">
        <f t="shared" si="55"/>
        <v>2533.04</v>
      </c>
      <c r="K110" s="59">
        <f t="shared" si="56"/>
        <v>0</v>
      </c>
      <c r="L110" s="59">
        <f t="shared" si="57"/>
        <v>2533.04</v>
      </c>
      <c r="M110" s="60">
        <f t="shared" si="58"/>
        <v>3191.88</v>
      </c>
      <c r="N110" s="3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>
      <c r="A111" s="93" t="s">
        <v>228</v>
      </c>
      <c r="B111" s="101" t="s">
        <v>210</v>
      </c>
      <c r="C111" s="85">
        <v>92347.0</v>
      </c>
      <c r="D111" s="102" t="s">
        <v>155</v>
      </c>
      <c r="E111" s="103" t="s">
        <v>15</v>
      </c>
      <c r="F111" s="57">
        <v>8.0</v>
      </c>
      <c r="G111" s="58">
        <v>84.14</v>
      </c>
      <c r="H111" s="58">
        <v>23.19</v>
      </c>
      <c r="I111" s="59">
        <f t="shared" si="54"/>
        <v>107.33</v>
      </c>
      <c r="J111" s="59">
        <f t="shared" si="55"/>
        <v>673.12</v>
      </c>
      <c r="K111" s="59">
        <f t="shared" si="56"/>
        <v>185.52</v>
      </c>
      <c r="L111" s="59">
        <f t="shared" si="57"/>
        <v>858.64</v>
      </c>
      <c r="M111" s="60">
        <f t="shared" si="58"/>
        <v>1081.97</v>
      </c>
      <c r="N111" s="3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>
      <c r="A112" s="93" t="s">
        <v>229</v>
      </c>
      <c r="B112" s="101" t="s">
        <v>180</v>
      </c>
      <c r="C112" s="85">
        <v>92353.0</v>
      </c>
      <c r="D112" s="102" t="s">
        <v>151</v>
      </c>
      <c r="E112" s="103" t="s">
        <v>15</v>
      </c>
      <c r="F112" s="57">
        <v>10.0</v>
      </c>
      <c r="G112" s="58">
        <v>119.61</v>
      </c>
      <c r="H112" s="58">
        <v>34.76</v>
      </c>
      <c r="I112" s="59">
        <f t="shared" si="54"/>
        <v>154.37</v>
      </c>
      <c r="J112" s="59">
        <f t="shared" si="55"/>
        <v>1196.1</v>
      </c>
      <c r="K112" s="59">
        <f t="shared" si="56"/>
        <v>347.6</v>
      </c>
      <c r="L112" s="59">
        <f t="shared" si="57"/>
        <v>1543.7</v>
      </c>
      <c r="M112" s="60">
        <f t="shared" si="58"/>
        <v>1945.22</v>
      </c>
      <c r="N112" s="3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>
      <c r="A113" s="93" t="s">
        <v>230</v>
      </c>
      <c r="B113" s="101" t="s">
        <v>157</v>
      </c>
      <c r="C113" s="85">
        <v>92377.0</v>
      </c>
      <c r="D113" s="102" t="s">
        <v>128</v>
      </c>
      <c r="E113" s="103" t="s">
        <v>15</v>
      </c>
      <c r="F113" s="57">
        <v>2.0</v>
      </c>
      <c r="G113" s="58">
        <v>72.55</v>
      </c>
      <c r="H113" s="58">
        <v>24.31</v>
      </c>
      <c r="I113" s="59">
        <f t="shared" si="54"/>
        <v>96.86</v>
      </c>
      <c r="J113" s="59">
        <f t="shared" si="55"/>
        <v>145.1</v>
      </c>
      <c r="K113" s="59">
        <f t="shared" si="56"/>
        <v>48.62</v>
      </c>
      <c r="L113" s="59">
        <f t="shared" si="57"/>
        <v>193.72</v>
      </c>
      <c r="M113" s="60">
        <f t="shared" si="58"/>
        <v>244.11</v>
      </c>
      <c r="N113" s="3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ht="12.75" customHeight="1">
      <c r="A114" s="4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5"/>
      <c r="N114" s="3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ht="12.75" customHeight="1">
      <c r="A115" s="115" t="s">
        <v>231</v>
      </c>
      <c r="B115" s="116"/>
      <c r="C115" s="117"/>
      <c r="D115" s="78" t="s">
        <v>232</v>
      </c>
      <c r="E115" s="34"/>
      <c r="F115" s="34"/>
      <c r="G115" s="34"/>
      <c r="H115" s="34"/>
      <c r="I115" s="35"/>
      <c r="J115" s="79">
        <f t="shared" ref="J115:M115" si="59">SUM(J116:J122)</f>
        <v>16534.5</v>
      </c>
      <c r="K115" s="79">
        <f t="shared" si="59"/>
        <v>1467.12</v>
      </c>
      <c r="L115" s="79">
        <f t="shared" si="59"/>
        <v>18001.62</v>
      </c>
      <c r="M115" s="79">
        <f t="shared" si="59"/>
        <v>22683.84</v>
      </c>
      <c r="N115" s="74">
        <f>M115</f>
        <v>22683.84</v>
      </c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>
      <c r="A116" s="93" t="s">
        <v>233</v>
      </c>
      <c r="B116" s="101" t="s">
        <v>178</v>
      </c>
      <c r="C116" s="85">
        <v>92367.0</v>
      </c>
      <c r="D116" s="102" t="s">
        <v>124</v>
      </c>
      <c r="E116" s="103" t="s">
        <v>51</v>
      </c>
      <c r="F116" s="57">
        <v>79.0</v>
      </c>
      <c r="G116" s="58">
        <v>122.28</v>
      </c>
      <c r="H116" s="58">
        <v>8.08</v>
      </c>
      <c r="I116" s="59">
        <f t="shared" ref="I116:I122" si="60">G116+H116</f>
        <v>130.36</v>
      </c>
      <c r="J116" s="59">
        <f t="shared" ref="J116:J122" si="61">G116*F116</f>
        <v>9660.12</v>
      </c>
      <c r="K116" s="59">
        <f t="shared" ref="K116:K122" si="62">H116*F116</f>
        <v>638.32</v>
      </c>
      <c r="L116" s="59">
        <f t="shared" ref="L116:L122" si="63">ROUND(J116+K116,2)</f>
        <v>10298.44</v>
      </c>
      <c r="M116" s="60">
        <f t="shared" ref="M116:M122" si="64">ROUND(L116*(1+$M$4),2)</f>
        <v>12977.06</v>
      </c>
      <c r="N116" s="3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>
      <c r="A117" s="93" t="s">
        <v>234</v>
      </c>
      <c r="B117" s="101" t="s">
        <v>200</v>
      </c>
      <c r="C117" s="85">
        <v>92357.0</v>
      </c>
      <c r="D117" s="102" t="s">
        <v>149</v>
      </c>
      <c r="E117" s="103" t="s">
        <v>15</v>
      </c>
      <c r="F117" s="57">
        <v>1.0</v>
      </c>
      <c r="G117" s="58">
        <v>165.36</v>
      </c>
      <c r="H117" s="58">
        <v>46.36</v>
      </c>
      <c r="I117" s="59">
        <f t="shared" si="60"/>
        <v>211.72</v>
      </c>
      <c r="J117" s="59">
        <f t="shared" si="61"/>
        <v>165.36</v>
      </c>
      <c r="K117" s="59">
        <f t="shared" si="62"/>
        <v>46.36</v>
      </c>
      <c r="L117" s="59">
        <f t="shared" si="63"/>
        <v>211.72</v>
      </c>
      <c r="M117" s="60">
        <f t="shared" si="64"/>
        <v>266.79</v>
      </c>
      <c r="N117" s="3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>
      <c r="A118" s="93" t="s">
        <v>235</v>
      </c>
      <c r="B118" s="101" t="s">
        <v>202</v>
      </c>
      <c r="C118" s="85" t="s">
        <v>203</v>
      </c>
      <c r="D118" s="102" t="s">
        <v>204</v>
      </c>
      <c r="E118" s="103" t="s">
        <v>15</v>
      </c>
      <c r="F118" s="57">
        <v>2.0</v>
      </c>
      <c r="G118" s="58">
        <f>1474.05-393.22</f>
        <v>1080.83</v>
      </c>
      <c r="H118" s="58">
        <v>100.35</v>
      </c>
      <c r="I118" s="59">
        <f t="shared" si="60"/>
        <v>1181.18</v>
      </c>
      <c r="J118" s="59">
        <f t="shared" si="61"/>
        <v>2161.66</v>
      </c>
      <c r="K118" s="59">
        <f t="shared" si="62"/>
        <v>200.7</v>
      </c>
      <c r="L118" s="59">
        <f t="shared" si="63"/>
        <v>2362.36</v>
      </c>
      <c r="M118" s="60">
        <f t="shared" si="64"/>
        <v>2976.81</v>
      </c>
      <c r="N118" s="3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>
      <c r="A119" s="93" t="s">
        <v>236</v>
      </c>
      <c r="B119" s="101" t="s">
        <v>206</v>
      </c>
      <c r="C119" s="85" t="s">
        <v>207</v>
      </c>
      <c r="D119" s="102" t="s">
        <v>208</v>
      </c>
      <c r="E119" s="103" t="s">
        <v>15</v>
      </c>
      <c r="F119" s="57">
        <v>4.0</v>
      </c>
      <c r="G119" s="58">
        <v>633.26</v>
      </c>
      <c r="H119" s="58">
        <v>0.0</v>
      </c>
      <c r="I119" s="59">
        <f t="shared" si="60"/>
        <v>633.26</v>
      </c>
      <c r="J119" s="59">
        <f t="shared" si="61"/>
        <v>2533.04</v>
      </c>
      <c r="K119" s="59">
        <f t="shared" si="62"/>
        <v>0</v>
      </c>
      <c r="L119" s="59">
        <f t="shared" si="63"/>
        <v>2533.04</v>
      </c>
      <c r="M119" s="60">
        <f t="shared" si="64"/>
        <v>3191.88</v>
      </c>
      <c r="N119" s="3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>
      <c r="A120" s="93" t="s">
        <v>237</v>
      </c>
      <c r="B120" s="101" t="s">
        <v>210</v>
      </c>
      <c r="C120" s="85">
        <v>92347.0</v>
      </c>
      <c r="D120" s="102" t="s">
        <v>155</v>
      </c>
      <c r="E120" s="103" t="s">
        <v>15</v>
      </c>
      <c r="F120" s="57">
        <v>8.0</v>
      </c>
      <c r="G120" s="58">
        <v>84.14</v>
      </c>
      <c r="H120" s="58">
        <v>23.19</v>
      </c>
      <c r="I120" s="59">
        <f t="shared" si="60"/>
        <v>107.33</v>
      </c>
      <c r="J120" s="59">
        <f t="shared" si="61"/>
        <v>673.12</v>
      </c>
      <c r="K120" s="59">
        <f t="shared" si="62"/>
        <v>185.52</v>
      </c>
      <c r="L120" s="59">
        <f t="shared" si="63"/>
        <v>858.64</v>
      </c>
      <c r="M120" s="60">
        <f t="shared" si="64"/>
        <v>1081.97</v>
      </c>
      <c r="N120" s="3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>
      <c r="A121" s="93" t="s">
        <v>238</v>
      </c>
      <c r="B121" s="101" t="s">
        <v>180</v>
      </c>
      <c r="C121" s="85">
        <v>92353.0</v>
      </c>
      <c r="D121" s="102" t="s">
        <v>151</v>
      </c>
      <c r="E121" s="103" t="s">
        <v>15</v>
      </c>
      <c r="F121" s="57">
        <v>10.0</v>
      </c>
      <c r="G121" s="58">
        <v>119.61</v>
      </c>
      <c r="H121" s="58">
        <v>34.76</v>
      </c>
      <c r="I121" s="59">
        <f t="shared" si="60"/>
        <v>154.37</v>
      </c>
      <c r="J121" s="59">
        <f t="shared" si="61"/>
        <v>1196.1</v>
      </c>
      <c r="K121" s="59">
        <f t="shared" si="62"/>
        <v>347.6</v>
      </c>
      <c r="L121" s="59">
        <f t="shared" si="63"/>
        <v>1543.7</v>
      </c>
      <c r="M121" s="60">
        <f t="shared" si="64"/>
        <v>1945.22</v>
      </c>
      <c r="N121" s="3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>
      <c r="A122" s="93" t="s">
        <v>239</v>
      </c>
      <c r="B122" s="101" t="s">
        <v>157</v>
      </c>
      <c r="C122" s="85">
        <v>92377.0</v>
      </c>
      <c r="D122" s="102" t="s">
        <v>128</v>
      </c>
      <c r="E122" s="103" t="s">
        <v>15</v>
      </c>
      <c r="F122" s="57">
        <v>2.0</v>
      </c>
      <c r="G122" s="58">
        <v>72.55</v>
      </c>
      <c r="H122" s="58">
        <v>24.31</v>
      </c>
      <c r="I122" s="59">
        <f t="shared" si="60"/>
        <v>96.86</v>
      </c>
      <c r="J122" s="59">
        <f t="shared" si="61"/>
        <v>145.1</v>
      </c>
      <c r="K122" s="59">
        <f t="shared" si="62"/>
        <v>48.62</v>
      </c>
      <c r="L122" s="59">
        <f t="shared" si="63"/>
        <v>193.72</v>
      </c>
      <c r="M122" s="60">
        <f t="shared" si="64"/>
        <v>244.11</v>
      </c>
      <c r="N122" s="3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ht="12.75" customHeight="1">
      <c r="A123" s="4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5"/>
      <c r="N123" s="3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ht="12.75" customHeight="1">
      <c r="A124" s="115" t="s">
        <v>240</v>
      </c>
      <c r="B124" s="116"/>
      <c r="C124" s="117"/>
      <c r="D124" s="78" t="s">
        <v>241</v>
      </c>
      <c r="E124" s="34"/>
      <c r="F124" s="34"/>
      <c r="G124" s="34"/>
      <c r="H124" s="34"/>
      <c r="I124" s="35"/>
      <c r="J124" s="79">
        <f t="shared" ref="J124:M124" si="65">SUM(J125:J131)</f>
        <v>21992.66</v>
      </c>
      <c r="K124" s="79">
        <f t="shared" si="65"/>
        <v>1863.6</v>
      </c>
      <c r="L124" s="79">
        <f t="shared" si="65"/>
        <v>23856.26</v>
      </c>
      <c r="M124" s="79">
        <f t="shared" si="65"/>
        <v>30061.27</v>
      </c>
      <c r="N124" s="74">
        <f>M124</f>
        <v>30061.27</v>
      </c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>
      <c r="A125" s="93" t="s">
        <v>242</v>
      </c>
      <c r="B125" s="101" t="s">
        <v>178</v>
      </c>
      <c r="C125" s="85">
        <v>92367.0</v>
      </c>
      <c r="D125" s="102" t="s">
        <v>124</v>
      </c>
      <c r="E125" s="103" t="s">
        <v>51</v>
      </c>
      <c r="F125" s="57">
        <v>80.0</v>
      </c>
      <c r="G125" s="58">
        <v>122.28</v>
      </c>
      <c r="H125" s="58">
        <v>8.08</v>
      </c>
      <c r="I125" s="59">
        <f t="shared" ref="I125:I131" si="66">G125+H125</f>
        <v>130.36</v>
      </c>
      <c r="J125" s="59">
        <f t="shared" ref="J125:J131" si="67">G125*F125</f>
        <v>9782.4</v>
      </c>
      <c r="K125" s="59">
        <f t="shared" ref="K125:K131" si="68">H125*F125</f>
        <v>646.4</v>
      </c>
      <c r="L125" s="59">
        <f t="shared" ref="L125:L131" si="69">ROUND(J125+K125,2)</f>
        <v>10428.8</v>
      </c>
      <c r="M125" s="60">
        <f t="shared" ref="M125:M131" si="70">ROUND(L125*(1+$M$4),2)</f>
        <v>13141.33</v>
      </c>
      <c r="N125" s="3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>
      <c r="A126" s="93" t="s">
        <v>243</v>
      </c>
      <c r="B126" s="101" t="s">
        <v>200</v>
      </c>
      <c r="C126" s="85">
        <v>92357.0</v>
      </c>
      <c r="D126" s="102" t="s">
        <v>149</v>
      </c>
      <c r="E126" s="103" t="s">
        <v>15</v>
      </c>
      <c r="F126" s="57">
        <v>4.0</v>
      </c>
      <c r="G126" s="58">
        <v>165.36</v>
      </c>
      <c r="H126" s="58">
        <v>46.36</v>
      </c>
      <c r="I126" s="59">
        <f t="shared" si="66"/>
        <v>211.72</v>
      </c>
      <c r="J126" s="59">
        <f t="shared" si="67"/>
        <v>661.44</v>
      </c>
      <c r="K126" s="59">
        <f t="shared" si="68"/>
        <v>185.44</v>
      </c>
      <c r="L126" s="59">
        <f t="shared" si="69"/>
        <v>846.88</v>
      </c>
      <c r="M126" s="60">
        <f t="shared" si="70"/>
        <v>1067.15</v>
      </c>
      <c r="N126" s="3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>
      <c r="A127" s="93" t="s">
        <v>244</v>
      </c>
      <c r="B127" s="101" t="s">
        <v>202</v>
      </c>
      <c r="C127" s="85" t="s">
        <v>203</v>
      </c>
      <c r="D127" s="102" t="s">
        <v>204</v>
      </c>
      <c r="E127" s="103" t="s">
        <v>15</v>
      </c>
      <c r="F127" s="57">
        <v>4.0</v>
      </c>
      <c r="G127" s="58">
        <f>1474.05-393.22</f>
        <v>1080.83</v>
      </c>
      <c r="H127" s="58">
        <v>100.35</v>
      </c>
      <c r="I127" s="59">
        <f t="shared" si="66"/>
        <v>1181.18</v>
      </c>
      <c r="J127" s="59">
        <f t="shared" si="67"/>
        <v>4323.32</v>
      </c>
      <c r="K127" s="59">
        <f t="shared" si="68"/>
        <v>401.4</v>
      </c>
      <c r="L127" s="59">
        <f t="shared" si="69"/>
        <v>4724.72</v>
      </c>
      <c r="M127" s="60">
        <f t="shared" si="70"/>
        <v>5953.62</v>
      </c>
      <c r="N127" s="3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>
      <c r="A128" s="93" t="s">
        <v>245</v>
      </c>
      <c r="B128" s="101" t="s">
        <v>206</v>
      </c>
      <c r="C128" s="85" t="s">
        <v>207</v>
      </c>
      <c r="D128" s="102" t="s">
        <v>208</v>
      </c>
      <c r="E128" s="103" t="s">
        <v>15</v>
      </c>
      <c r="F128" s="57">
        <v>8.0</v>
      </c>
      <c r="G128" s="58">
        <v>633.26</v>
      </c>
      <c r="H128" s="58">
        <v>0.0</v>
      </c>
      <c r="I128" s="59">
        <f t="shared" si="66"/>
        <v>633.26</v>
      </c>
      <c r="J128" s="59">
        <f t="shared" si="67"/>
        <v>5066.08</v>
      </c>
      <c r="K128" s="59">
        <f t="shared" si="68"/>
        <v>0</v>
      </c>
      <c r="L128" s="59">
        <f t="shared" si="69"/>
        <v>5066.08</v>
      </c>
      <c r="M128" s="60">
        <f t="shared" si="70"/>
        <v>6383.77</v>
      </c>
      <c r="N128" s="3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>
      <c r="A129" s="93" t="s">
        <v>246</v>
      </c>
      <c r="B129" s="101" t="s">
        <v>210</v>
      </c>
      <c r="C129" s="85">
        <v>92347.0</v>
      </c>
      <c r="D129" s="102" t="s">
        <v>155</v>
      </c>
      <c r="E129" s="103" t="s">
        <v>15</v>
      </c>
      <c r="F129" s="57">
        <v>8.0</v>
      </c>
      <c r="G129" s="58">
        <v>84.14</v>
      </c>
      <c r="H129" s="58">
        <v>23.19</v>
      </c>
      <c r="I129" s="59">
        <f t="shared" si="66"/>
        <v>107.33</v>
      </c>
      <c r="J129" s="59">
        <f t="shared" si="67"/>
        <v>673.12</v>
      </c>
      <c r="K129" s="59">
        <f t="shared" si="68"/>
        <v>185.52</v>
      </c>
      <c r="L129" s="59">
        <f t="shared" si="69"/>
        <v>858.64</v>
      </c>
      <c r="M129" s="60">
        <f t="shared" si="70"/>
        <v>1081.97</v>
      </c>
      <c r="N129" s="3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>
      <c r="A130" s="93" t="s">
        <v>247</v>
      </c>
      <c r="B130" s="101" t="s">
        <v>180</v>
      </c>
      <c r="C130" s="85">
        <v>92353.0</v>
      </c>
      <c r="D130" s="102" t="s">
        <v>151</v>
      </c>
      <c r="E130" s="103" t="s">
        <v>15</v>
      </c>
      <c r="F130" s="57">
        <v>10.0</v>
      </c>
      <c r="G130" s="58">
        <v>119.61</v>
      </c>
      <c r="H130" s="58">
        <v>34.76</v>
      </c>
      <c r="I130" s="59">
        <f t="shared" si="66"/>
        <v>154.37</v>
      </c>
      <c r="J130" s="59">
        <f t="shared" si="67"/>
        <v>1196.1</v>
      </c>
      <c r="K130" s="59">
        <f t="shared" si="68"/>
        <v>347.6</v>
      </c>
      <c r="L130" s="59">
        <f t="shared" si="69"/>
        <v>1543.7</v>
      </c>
      <c r="M130" s="60">
        <f t="shared" si="70"/>
        <v>1945.22</v>
      </c>
      <c r="N130" s="3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>
      <c r="A131" s="93" t="s">
        <v>248</v>
      </c>
      <c r="B131" s="101" t="s">
        <v>157</v>
      </c>
      <c r="C131" s="85">
        <v>92377.0</v>
      </c>
      <c r="D131" s="102" t="s">
        <v>128</v>
      </c>
      <c r="E131" s="103" t="s">
        <v>15</v>
      </c>
      <c r="F131" s="57">
        <v>4.0</v>
      </c>
      <c r="G131" s="58">
        <v>72.55</v>
      </c>
      <c r="H131" s="58">
        <v>24.31</v>
      </c>
      <c r="I131" s="59">
        <f t="shared" si="66"/>
        <v>96.86</v>
      </c>
      <c r="J131" s="59">
        <f t="shared" si="67"/>
        <v>290.2</v>
      </c>
      <c r="K131" s="59">
        <f t="shared" si="68"/>
        <v>97.24</v>
      </c>
      <c r="L131" s="59">
        <f t="shared" si="69"/>
        <v>387.44</v>
      </c>
      <c r="M131" s="60">
        <f t="shared" si="70"/>
        <v>488.21</v>
      </c>
      <c r="N131" s="3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ht="12.75" customHeight="1">
      <c r="A132" s="4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5"/>
      <c r="N132" s="3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ht="12.75" customHeight="1">
      <c r="A133" s="115" t="s">
        <v>249</v>
      </c>
      <c r="B133" s="116"/>
      <c r="C133" s="117"/>
      <c r="D133" s="78" t="s">
        <v>250</v>
      </c>
      <c r="E133" s="34"/>
      <c r="F133" s="34"/>
      <c r="G133" s="34"/>
      <c r="H133" s="34"/>
      <c r="I133" s="35"/>
      <c r="J133" s="79">
        <f t="shared" ref="J133:M133" si="71">SUM(J134:J141)</f>
        <v>11398.5</v>
      </c>
      <c r="K133" s="79">
        <f t="shared" si="71"/>
        <v>1140.09</v>
      </c>
      <c r="L133" s="79">
        <f t="shared" si="71"/>
        <v>12538.59</v>
      </c>
      <c r="M133" s="79">
        <f t="shared" si="71"/>
        <v>15799.87</v>
      </c>
      <c r="N133" s="74">
        <f>M133</f>
        <v>15799.87</v>
      </c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>
      <c r="A134" s="93" t="s">
        <v>251</v>
      </c>
      <c r="B134" s="101" t="s">
        <v>178</v>
      </c>
      <c r="C134" s="85">
        <v>92367.0</v>
      </c>
      <c r="D134" s="102" t="s">
        <v>124</v>
      </c>
      <c r="E134" s="103" t="s">
        <v>51</v>
      </c>
      <c r="F134" s="57">
        <v>50.0</v>
      </c>
      <c r="G134" s="58">
        <v>122.28</v>
      </c>
      <c r="H134" s="58">
        <v>8.08</v>
      </c>
      <c r="I134" s="59">
        <f t="shared" ref="I134:I141" si="72">G134+H134</f>
        <v>130.36</v>
      </c>
      <c r="J134" s="59">
        <f t="shared" ref="J134:J141" si="73">G134*F134</f>
        <v>6114</v>
      </c>
      <c r="K134" s="59">
        <f t="shared" ref="K134:K141" si="74">H134*F134</f>
        <v>404</v>
      </c>
      <c r="L134" s="59">
        <f t="shared" ref="L134:L141" si="75">ROUND(J134+K134,2)</f>
        <v>6518</v>
      </c>
      <c r="M134" s="60">
        <f t="shared" ref="M134:M141" si="76">ROUND(L134*(1+$M$4),2)</f>
        <v>8213.33</v>
      </c>
      <c r="N134" s="3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>
      <c r="A135" s="93" t="s">
        <v>252</v>
      </c>
      <c r="B135" s="101" t="s">
        <v>200</v>
      </c>
      <c r="C135" s="85">
        <v>92357.0</v>
      </c>
      <c r="D135" s="102" t="s">
        <v>149</v>
      </c>
      <c r="E135" s="103" t="s">
        <v>15</v>
      </c>
      <c r="F135" s="57">
        <v>1.0</v>
      </c>
      <c r="G135" s="58">
        <v>165.36</v>
      </c>
      <c r="H135" s="58">
        <v>46.36</v>
      </c>
      <c r="I135" s="59">
        <f t="shared" si="72"/>
        <v>211.72</v>
      </c>
      <c r="J135" s="59">
        <f t="shared" si="73"/>
        <v>165.36</v>
      </c>
      <c r="K135" s="59">
        <f t="shared" si="74"/>
        <v>46.36</v>
      </c>
      <c r="L135" s="59">
        <f t="shared" si="75"/>
        <v>211.72</v>
      </c>
      <c r="M135" s="60">
        <f t="shared" si="76"/>
        <v>266.79</v>
      </c>
      <c r="N135" s="3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>
      <c r="A136" s="93" t="s">
        <v>253</v>
      </c>
      <c r="B136" s="101" t="s">
        <v>202</v>
      </c>
      <c r="C136" s="85" t="s">
        <v>203</v>
      </c>
      <c r="D136" s="102" t="s">
        <v>204</v>
      </c>
      <c r="E136" s="103" t="s">
        <v>15</v>
      </c>
      <c r="F136" s="57">
        <v>1.0</v>
      </c>
      <c r="G136" s="58">
        <f>1474.05-393.22</f>
        <v>1080.83</v>
      </c>
      <c r="H136" s="58">
        <v>100.35</v>
      </c>
      <c r="I136" s="59">
        <f t="shared" si="72"/>
        <v>1181.18</v>
      </c>
      <c r="J136" s="59">
        <f t="shared" si="73"/>
        <v>1080.83</v>
      </c>
      <c r="K136" s="59">
        <f t="shared" si="74"/>
        <v>100.35</v>
      </c>
      <c r="L136" s="59">
        <f t="shared" si="75"/>
        <v>1181.18</v>
      </c>
      <c r="M136" s="60">
        <f t="shared" si="76"/>
        <v>1488.4</v>
      </c>
      <c r="N136" s="3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>
      <c r="A137" s="93" t="s">
        <v>254</v>
      </c>
      <c r="B137" s="101" t="s">
        <v>206</v>
      </c>
      <c r="C137" s="85" t="s">
        <v>207</v>
      </c>
      <c r="D137" s="102" t="s">
        <v>208</v>
      </c>
      <c r="E137" s="103" t="s">
        <v>15</v>
      </c>
      <c r="F137" s="57">
        <v>2.0</v>
      </c>
      <c r="G137" s="58">
        <v>633.26</v>
      </c>
      <c r="H137" s="58">
        <v>0.0</v>
      </c>
      <c r="I137" s="59">
        <f t="shared" si="72"/>
        <v>633.26</v>
      </c>
      <c r="J137" s="59">
        <f t="shared" si="73"/>
        <v>1266.52</v>
      </c>
      <c r="K137" s="59">
        <f t="shared" si="74"/>
        <v>0</v>
      </c>
      <c r="L137" s="59">
        <f t="shared" si="75"/>
        <v>1266.52</v>
      </c>
      <c r="M137" s="60">
        <f t="shared" si="76"/>
        <v>1595.94</v>
      </c>
      <c r="N137" s="3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>
      <c r="A138" s="93" t="s">
        <v>255</v>
      </c>
      <c r="B138" s="101" t="s">
        <v>256</v>
      </c>
      <c r="C138" s="85" t="s">
        <v>203</v>
      </c>
      <c r="D138" s="102" t="s">
        <v>204</v>
      </c>
      <c r="E138" s="103" t="s">
        <v>15</v>
      </c>
      <c r="F138" s="57">
        <v>1.0</v>
      </c>
      <c r="G138" s="58">
        <f>1474.05-393.22</f>
        <v>1080.83</v>
      </c>
      <c r="H138" s="58">
        <v>100.35</v>
      </c>
      <c r="I138" s="59">
        <f t="shared" si="72"/>
        <v>1181.18</v>
      </c>
      <c r="J138" s="59">
        <f t="shared" si="73"/>
        <v>1080.83</v>
      </c>
      <c r="K138" s="59">
        <f t="shared" si="74"/>
        <v>100.35</v>
      </c>
      <c r="L138" s="59">
        <f t="shared" si="75"/>
        <v>1181.18</v>
      </c>
      <c r="M138" s="60">
        <f t="shared" si="76"/>
        <v>1488.4</v>
      </c>
      <c r="N138" s="3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>
      <c r="A139" s="93" t="s">
        <v>257</v>
      </c>
      <c r="B139" s="101" t="s">
        <v>210</v>
      </c>
      <c r="C139" s="85">
        <v>92347.0</v>
      </c>
      <c r="D139" s="102" t="s">
        <v>155</v>
      </c>
      <c r="E139" s="103" t="s">
        <v>15</v>
      </c>
      <c r="F139" s="57">
        <v>7.0</v>
      </c>
      <c r="G139" s="58">
        <v>84.14</v>
      </c>
      <c r="H139" s="58">
        <v>23.19</v>
      </c>
      <c r="I139" s="59">
        <f t="shared" si="72"/>
        <v>107.33</v>
      </c>
      <c r="J139" s="59">
        <f t="shared" si="73"/>
        <v>588.98</v>
      </c>
      <c r="K139" s="59">
        <f t="shared" si="74"/>
        <v>162.33</v>
      </c>
      <c r="L139" s="59">
        <f t="shared" si="75"/>
        <v>751.31</v>
      </c>
      <c r="M139" s="60">
        <f t="shared" si="76"/>
        <v>946.73</v>
      </c>
      <c r="N139" s="3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>
      <c r="A140" s="93" t="s">
        <v>258</v>
      </c>
      <c r="B140" s="101" t="s">
        <v>180</v>
      </c>
      <c r="C140" s="85">
        <v>92353.0</v>
      </c>
      <c r="D140" s="102" t="s">
        <v>151</v>
      </c>
      <c r="E140" s="103" t="s">
        <v>15</v>
      </c>
      <c r="F140" s="57">
        <v>8.0</v>
      </c>
      <c r="G140" s="58">
        <v>119.61</v>
      </c>
      <c r="H140" s="58">
        <v>34.76</v>
      </c>
      <c r="I140" s="59">
        <f t="shared" si="72"/>
        <v>154.37</v>
      </c>
      <c r="J140" s="59">
        <f t="shared" si="73"/>
        <v>956.88</v>
      </c>
      <c r="K140" s="59">
        <f t="shared" si="74"/>
        <v>278.08</v>
      </c>
      <c r="L140" s="59">
        <f t="shared" si="75"/>
        <v>1234.96</v>
      </c>
      <c r="M140" s="60">
        <f t="shared" si="76"/>
        <v>1556.17</v>
      </c>
      <c r="N140" s="3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>
      <c r="A141" s="93" t="s">
        <v>259</v>
      </c>
      <c r="B141" s="101" t="s">
        <v>157</v>
      </c>
      <c r="C141" s="85">
        <v>92377.0</v>
      </c>
      <c r="D141" s="102" t="s">
        <v>128</v>
      </c>
      <c r="E141" s="103" t="s">
        <v>15</v>
      </c>
      <c r="F141" s="57">
        <v>2.0</v>
      </c>
      <c r="G141" s="58">
        <v>72.55</v>
      </c>
      <c r="H141" s="58">
        <v>24.31</v>
      </c>
      <c r="I141" s="59">
        <f t="shared" si="72"/>
        <v>96.86</v>
      </c>
      <c r="J141" s="59">
        <f t="shared" si="73"/>
        <v>145.1</v>
      </c>
      <c r="K141" s="59">
        <f t="shared" si="74"/>
        <v>48.62</v>
      </c>
      <c r="L141" s="59">
        <f t="shared" si="75"/>
        <v>193.72</v>
      </c>
      <c r="M141" s="60">
        <f t="shared" si="76"/>
        <v>244.11</v>
      </c>
      <c r="N141" s="3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ht="12.75" customHeight="1">
      <c r="A142" s="44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5"/>
      <c r="N142" s="3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ht="12.75" customHeight="1">
      <c r="A143" s="115" t="s">
        <v>260</v>
      </c>
      <c r="B143" s="116"/>
      <c r="C143" s="117"/>
      <c r="D143" s="78" t="s">
        <v>261</v>
      </c>
      <c r="E143" s="34"/>
      <c r="F143" s="34"/>
      <c r="G143" s="34"/>
      <c r="H143" s="34"/>
      <c r="I143" s="35"/>
      <c r="J143" s="79">
        <f t="shared" ref="J143:M143" si="77">SUM(J144:J155)</f>
        <v>12175.6413</v>
      </c>
      <c r="K143" s="79">
        <f t="shared" si="77"/>
        <v>3792.0778</v>
      </c>
      <c r="L143" s="79">
        <f t="shared" si="77"/>
        <v>15967.72</v>
      </c>
      <c r="M143" s="79">
        <f t="shared" si="77"/>
        <v>20120.92</v>
      </c>
      <c r="N143" s="74">
        <f>M143</f>
        <v>20120.92</v>
      </c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>
      <c r="A144" s="122" t="s">
        <v>262</v>
      </c>
      <c r="B144" s="101" t="s">
        <v>263</v>
      </c>
      <c r="C144" s="85">
        <v>101273.0</v>
      </c>
      <c r="D144" s="102" t="s">
        <v>264</v>
      </c>
      <c r="E144" s="125" t="s">
        <v>43</v>
      </c>
      <c r="F144" s="57">
        <v>50.0</v>
      </c>
      <c r="G144" s="58">
        <v>15.14</v>
      </c>
      <c r="H144" s="58">
        <v>1.28</v>
      </c>
      <c r="I144" s="59">
        <f t="shared" ref="I144:I155" si="78">G144+H144</f>
        <v>16.42</v>
      </c>
      <c r="J144" s="59">
        <f t="shared" ref="J144:J155" si="79">G144*F144</f>
        <v>757</v>
      </c>
      <c r="K144" s="59">
        <f t="shared" ref="K144:K155" si="80">H144*F144</f>
        <v>64</v>
      </c>
      <c r="L144" s="59">
        <f t="shared" ref="L144:L155" si="81">ROUND(J144+K144,2)</f>
        <v>821</v>
      </c>
      <c r="M144" s="60">
        <f t="shared" ref="M144:M155" si="82">ROUND(L144*(1+$M$4),2)</f>
        <v>1034.54</v>
      </c>
      <c r="N144" s="3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>
      <c r="A145" s="122" t="s">
        <v>265</v>
      </c>
      <c r="B145" s="101" t="s">
        <v>266</v>
      </c>
      <c r="C145" s="85">
        <v>93364.0</v>
      </c>
      <c r="D145" s="102" t="s">
        <v>267</v>
      </c>
      <c r="E145" s="125" t="s">
        <v>43</v>
      </c>
      <c r="F145" s="57">
        <v>50.0</v>
      </c>
      <c r="G145" s="58">
        <v>9.6</v>
      </c>
      <c r="H145" s="58">
        <v>2.1</v>
      </c>
      <c r="I145" s="59">
        <f t="shared" si="78"/>
        <v>11.7</v>
      </c>
      <c r="J145" s="59">
        <f t="shared" si="79"/>
        <v>480</v>
      </c>
      <c r="K145" s="59">
        <f t="shared" si="80"/>
        <v>105</v>
      </c>
      <c r="L145" s="59">
        <f t="shared" si="81"/>
        <v>585</v>
      </c>
      <c r="M145" s="60">
        <f t="shared" si="82"/>
        <v>737.16</v>
      </c>
      <c r="N145" s="3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>
      <c r="A146" s="122" t="s">
        <v>268</v>
      </c>
      <c r="B146" s="101" t="s">
        <v>269</v>
      </c>
      <c r="C146" s="85" t="s">
        <v>270</v>
      </c>
      <c r="D146" s="102" t="s">
        <v>271</v>
      </c>
      <c r="E146" s="103" t="s">
        <v>15</v>
      </c>
      <c r="F146" s="126">
        <v>7.0</v>
      </c>
      <c r="G146" s="58">
        <v>16.16</v>
      </c>
      <c r="H146" s="58">
        <v>31.43</v>
      </c>
      <c r="I146" s="59">
        <f t="shared" si="78"/>
        <v>47.59</v>
      </c>
      <c r="J146" s="59">
        <f t="shared" si="79"/>
        <v>113.12</v>
      </c>
      <c r="K146" s="59">
        <f t="shared" si="80"/>
        <v>220.01</v>
      </c>
      <c r="L146" s="59">
        <f t="shared" si="81"/>
        <v>333.13</v>
      </c>
      <c r="M146" s="60">
        <f t="shared" si="82"/>
        <v>419.78</v>
      </c>
      <c r="N146" s="3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>
      <c r="A147" s="122" t="s">
        <v>272</v>
      </c>
      <c r="B147" s="101" t="s">
        <v>273</v>
      </c>
      <c r="C147" s="85" t="s">
        <v>274</v>
      </c>
      <c r="D147" s="102" t="s">
        <v>275</v>
      </c>
      <c r="E147" s="103" t="s">
        <v>15</v>
      </c>
      <c r="F147" s="57">
        <v>40.0</v>
      </c>
      <c r="G147" s="58">
        <v>36.75</v>
      </c>
      <c r="H147" s="58">
        <v>10.85</v>
      </c>
      <c r="I147" s="59">
        <f t="shared" si="78"/>
        <v>47.6</v>
      </c>
      <c r="J147" s="59">
        <f t="shared" si="79"/>
        <v>1470</v>
      </c>
      <c r="K147" s="59">
        <f t="shared" si="80"/>
        <v>434</v>
      </c>
      <c r="L147" s="59">
        <f t="shared" si="81"/>
        <v>1904</v>
      </c>
      <c r="M147" s="60">
        <f t="shared" si="82"/>
        <v>2399.23</v>
      </c>
      <c r="N147" s="3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>
      <c r="A148" s="122" t="s">
        <v>276</v>
      </c>
      <c r="B148" s="127" t="s">
        <v>277</v>
      </c>
      <c r="C148" s="104" t="s">
        <v>278</v>
      </c>
      <c r="D148" s="128" t="s">
        <v>279</v>
      </c>
      <c r="E148" s="129" t="s">
        <v>15</v>
      </c>
      <c r="F148" s="126">
        <v>12.0</v>
      </c>
      <c r="G148" s="58">
        <f>130.7-H148</f>
        <v>117.54</v>
      </c>
      <c r="H148" s="58">
        <v>13.16</v>
      </c>
      <c r="I148" s="59">
        <f t="shared" si="78"/>
        <v>130.7</v>
      </c>
      <c r="J148" s="59">
        <f t="shared" si="79"/>
        <v>1410.48</v>
      </c>
      <c r="K148" s="59">
        <f t="shared" si="80"/>
        <v>157.92</v>
      </c>
      <c r="L148" s="59">
        <f t="shared" si="81"/>
        <v>1568.4</v>
      </c>
      <c r="M148" s="60">
        <f t="shared" si="82"/>
        <v>1976.34</v>
      </c>
      <c r="N148" s="3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>
      <c r="A149" s="122" t="s">
        <v>280</v>
      </c>
      <c r="B149" s="101" t="s">
        <v>281</v>
      </c>
      <c r="C149" s="85" t="s">
        <v>114</v>
      </c>
      <c r="D149" s="102" t="s">
        <v>115</v>
      </c>
      <c r="E149" s="103" t="s">
        <v>282</v>
      </c>
      <c r="F149" s="57">
        <v>1.0</v>
      </c>
      <c r="G149" s="58">
        <v>49.03</v>
      </c>
      <c r="H149" s="58">
        <v>10.27</v>
      </c>
      <c r="I149" s="59">
        <f t="shared" si="78"/>
        <v>59.3</v>
      </c>
      <c r="J149" s="59">
        <f t="shared" si="79"/>
        <v>49.03</v>
      </c>
      <c r="K149" s="59">
        <f t="shared" si="80"/>
        <v>10.27</v>
      </c>
      <c r="L149" s="59">
        <f t="shared" si="81"/>
        <v>59.3</v>
      </c>
      <c r="M149" s="60">
        <f t="shared" si="82"/>
        <v>74.72</v>
      </c>
      <c r="N149" s="3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>
      <c r="A150" s="122" t="s">
        <v>283</v>
      </c>
      <c r="B150" s="101" t="s">
        <v>192</v>
      </c>
      <c r="C150" s="85" t="s">
        <v>117</v>
      </c>
      <c r="D150" s="102" t="s">
        <v>118</v>
      </c>
      <c r="E150" s="103" t="s">
        <v>15</v>
      </c>
      <c r="F150" s="57">
        <v>2.0</v>
      </c>
      <c r="G150" s="58">
        <v>68.29</v>
      </c>
      <c r="H150" s="58">
        <v>9.07</v>
      </c>
      <c r="I150" s="59">
        <f t="shared" si="78"/>
        <v>77.36</v>
      </c>
      <c r="J150" s="59">
        <f t="shared" si="79"/>
        <v>136.58</v>
      </c>
      <c r="K150" s="59">
        <f t="shared" si="80"/>
        <v>18.14</v>
      </c>
      <c r="L150" s="59">
        <f t="shared" si="81"/>
        <v>154.72</v>
      </c>
      <c r="M150" s="60">
        <f t="shared" si="82"/>
        <v>194.96</v>
      </c>
      <c r="N150" s="3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>
      <c r="A151" s="122" t="s">
        <v>284</v>
      </c>
      <c r="B151" s="101" t="s">
        <v>285</v>
      </c>
      <c r="C151" s="85">
        <v>91863.0</v>
      </c>
      <c r="D151" s="102" t="s">
        <v>286</v>
      </c>
      <c r="E151" s="103" t="s">
        <v>51</v>
      </c>
      <c r="F151" s="57">
        <v>350.0</v>
      </c>
      <c r="G151" s="58">
        <v>8.25</v>
      </c>
      <c r="H151" s="58">
        <v>4.2</v>
      </c>
      <c r="I151" s="59">
        <f t="shared" si="78"/>
        <v>12.45</v>
      </c>
      <c r="J151" s="59">
        <f t="shared" si="79"/>
        <v>2887.5</v>
      </c>
      <c r="K151" s="59">
        <f t="shared" si="80"/>
        <v>1470</v>
      </c>
      <c r="L151" s="59">
        <f t="shared" si="81"/>
        <v>4357.5</v>
      </c>
      <c r="M151" s="60">
        <f t="shared" si="82"/>
        <v>5490.89</v>
      </c>
      <c r="N151" s="3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>
      <c r="A152" s="122" t="s">
        <v>287</v>
      </c>
      <c r="B152" s="101" t="s">
        <v>288</v>
      </c>
      <c r="C152" s="85">
        <v>95777.0</v>
      </c>
      <c r="D152" s="102" t="s">
        <v>289</v>
      </c>
      <c r="E152" s="103" t="s">
        <v>15</v>
      </c>
      <c r="F152" s="57">
        <v>12.0</v>
      </c>
      <c r="G152" s="58">
        <v>17.72</v>
      </c>
      <c r="H152" s="58">
        <v>11.53</v>
      </c>
      <c r="I152" s="59">
        <f t="shared" si="78"/>
        <v>29.25</v>
      </c>
      <c r="J152" s="59">
        <f t="shared" si="79"/>
        <v>212.64</v>
      </c>
      <c r="K152" s="59">
        <f t="shared" si="80"/>
        <v>138.36</v>
      </c>
      <c r="L152" s="59">
        <f t="shared" si="81"/>
        <v>351</v>
      </c>
      <c r="M152" s="60">
        <f t="shared" si="82"/>
        <v>442.3</v>
      </c>
      <c r="N152" s="3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>
      <c r="A153" s="122" t="s">
        <v>290</v>
      </c>
      <c r="B153" s="101" t="s">
        <v>291</v>
      </c>
      <c r="C153" s="85" t="s">
        <v>120</v>
      </c>
      <c r="D153" s="102" t="s">
        <v>121</v>
      </c>
      <c r="E153" s="103" t="s">
        <v>51</v>
      </c>
      <c r="F153" s="57">
        <v>800.0</v>
      </c>
      <c r="G153" s="58">
        <v>3.04</v>
      </c>
      <c r="H153" s="58">
        <v>1.0</v>
      </c>
      <c r="I153" s="59">
        <f t="shared" si="78"/>
        <v>4.04</v>
      </c>
      <c r="J153" s="59">
        <f t="shared" si="79"/>
        <v>2432</v>
      </c>
      <c r="K153" s="59">
        <f t="shared" si="80"/>
        <v>800</v>
      </c>
      <c r="L153" s="59">
        <f t="shared" si="81"/>
        <v>3232</v>
      </c>
      <c r="M153" s="60">
        <f t="shared" si="82"/>
        <v>4072.64</v>
      </c>
      <c r="N153" s="3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>
      <c r="A154" s="122" t="s">
        <v>292</v>
      </c>
      <c r="B154" s="101" t="s">
        <v>293</v>
      </c>
      <c r="C154" s="85">
        <v>97882.0</v>
      </c>
      <c r="D154" s="102" t="s">
        <v>294</v>
      </c>
      <c r="E154" s="125" t="s">
        <v>15</v>
      </c>
      <c r="F154" s="57">
        <v>14.0</v>
      </c>
      <c r="G154" s="58">
        <v>115.45</v>
      </c>
      <c r="H154" s="58">
        <v>25.99</v>
      </c>
      <c r="I154" s="59">
        <f t="shared" si="78"/>
        <v>141.44</v>
      </c>
      <c r="J154" s="59">
        <f t="shared" si="79"/>
        <v>1616.3</v>
      </c>
      <c r="K154" s="59">
        <f t="shared" si="80"/>
        <v>363.86</v>
      </c>
      <c r="L154" s="59">
        <f t="shared" si="81"/>
        <v>1980.16</v>
      </c>
      <c r="M154" s="60">
        <f t="shared" si="82"/>
        <v>2495.2</v>
      </c>
      <c r="N154" s="3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>
      <c r="A155" s="122" t="s">
        <v>295</v>
      </c>
      <c r="B155" s="101" t="s">
        <v>296</v>
      </c>
      <c r="C155" s="122" t="s">
        <v>297</v>
      </c>
      <c r="D155" s="102" t="s">
        <v>298</v>
      </c>
      <c r="E155" s="122" t="s">
        <v>43</v>
      </c>
      <c r="F155" s="120">
        <v>0.43</v>
      </c>
      <c r="G155" s="58">
        <v>1420.91</v>
      </c>
      <c r="H155" s="58">
        <v>24.46</v>
      </c>
      <c r="I155" s="59">
        <f t="shared" si="78"/>
        <v>1445.37</v>
      </c>
      <c r="J155" s="59">
        <f t="shared" si="79"/>
        <v>610.9913</v>
      </c>
      <c r="K155" s="59">
        <f t="shared" si="80"/>
        <v>10.5178</v>
      </c>
      <c r="L155" s="59">
        <f t="shared" si="81"/>
        <v>621.51</v>
      </c>
      <c r="M155" s="60">
        <f t="shared" si="82"/>
        <v>783.16</v>
      </c>
      <c r="N155" s="3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ht="12.75" customHeight="1">
      <c r="A156" s="44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5"/>
      <c r="N156" s="3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ht="12.75" customHeight="1">
      <c r="A157" s="115" t="s">
        <v>299</v>
      </c>
      <c r="B157" s="116"/>
      <c r="C157" s="117"/>
      <c r="D157" s="78" t="s">
        <v>300</v>
      </c>
      <c r="E157" s="34"/>
      <c r="F157" s="34"/>
      <c r="G157" s="34"/>
      <c r="H157" s="34"/>
      <c r="I157" s="35"/>
      <c r="J157" s="79">
        <f t="shared" ref="J157:M157" si="83">SUM(J158:J175)</f>
        <v>14523.066</v>
      </c>
      <c r="K157" s="79">
        <f t="shared" si="83"/>
        <v>1329.68</v>
      </c>
      <c r="L157" s="79">
        <f t="shared" si="83"/>
        <v>15852.746</v>
      </c>
      <c r="M157" s="79">
        <f t="shared" si="83"/>
        <v>19976.05</v>
      </c>
      <c r="N157" s="74">
        <f>M157</f>
        <v>19976.05</v>
      </c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>
      <c r="A158" s="93" t="s">
        <v>301</v>
      </c>
      <c r="B158" s="101" t="s">
        <v>93</v>
      </c>
      <c r="C158" s="85" t="s">
        <v>94</v>
      </c>
      <c r="D158" s="102" t="s">
        <v>64</v>
      </c>
      <c r="E158" s="103" t="s">
        <v>43</v>
      </c>
      <c r="F158" s="57">
        <v>0.4</v>
      </c>
      <c r="G158" s="58">
        <v>341.21</v>
      </c>
      <c r="H158" s="58">
        <v>55.52</v>
      </c>
      <c r="I158" s="59">
        <f t="shared" ref="I158:I175" si="84">G158+H158</f>
        <v>396.73</v>
      </c>
      <c r="J158" s="59">
        <f t="shared" ref="J158:J175" si="85">G158*F158</f>
        <v>136.484</v>
      </c>
      <c r="K158" s="59">
        <f t="shared" ref="K158:K175" si="86">H158*F158</f>
        <v>22.208</v>
      </c>
      <c r="L158" s="59">
        <f t="shared" ref="L158:L162" si="87">I158*F158</f>
        <v>158.692</v>
      </c>
      <c r="M158" s="60">
        <f t="shared" ref="M158:M175" si="88">ROUND(L158*(1+$M$4),2)</f>
        <v>199.97</v>
      </c>
      <c r="N158" s="3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>
      <c r="A159" s="93" t="s">
        <v>302</v>
      </c>
      <c r="B159" s="101" t="s">
        <v>96</v>
      </c>
      <c r="C159" s="85" t="s">
        <v>97</v>
      </c>
      <c r="D159" s="102" t="s">
        <v>98</v>
      </c>
      <c r="E159" s="103" t="s">
        <v>47</v>
      </c>
      <c r="F159" s="57">
        <v>28.8</v>
      </c>
      <c r="G159" s="58">
        <v>13.11</v>
      </c>
      <c r="H159" s="58">
        <v>4.41</v>
      </c>
      <c r="I159" s="59">
        <f t="shared" si="84"/>
        <v>17.52</v>
      </c>
      <c r="J159" s="59">
        <f t="shared" si="85"/>
        <v>377.568</v>
      </c>
      <c r="K159" s="59">
        <f t="shared" si="86"/>
        <v>127.008</v>
      </c>
      <c r="L159" s="59">
        <f t="shared" si="87"/>
        <v>504.576</v>
      </c>
      <c r="M159" s="60">
        <f t="shared" si="88"/>
        <v>635.82</v>
      </c>
      <c r="N159" s="3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>
      <c r="A160" s="93" t="s">
        <v>303</v>
      </c>
      <c r="B160" s="101" t="s">
        <v>100</v>
      </c>
      <c r="C160" s="85" t="s">
        <v>101</v>
      </c>
      <c r="D160" s="102" t="s">
        <v>102</v>
      </c>
      <c r="E160" s="103" t="s">
        <v>58</v>
      </c>
      <c r="F160" s="57">
        <v>1.9</v>
      </c>
      <c r="G160" s="58">
        <v>56.33</v>
      </c>
      <c r="H160" s="58">
        <v>56.58</v>
      </c>
      <c r="I160" s="59">
        <f t="shared" si="84"/>
        <v>112.91</v>
      </c>
      <c r="J160" s="59">
        <f t="shared" si="85"/>
        <v>107.027</v>
      </c>
      <c r="K160" s="59">
        <f t="shared" si="86"/>
        <v>107.502</v>
      </c>
      <c r="L160" s="59">
        <f t="shared" si="87"/>
        <v>214.529</v>
      </c>
      <c r="M160" s="60">
        <f t="shared" si="88"/>
        <v>270.33</v>
      </c>
      <c r="N160" s="3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>
      <c r="A161" s="93" t="s">
        <v>304</v>
      </c>
      <c r="B161" s="101" t="s">
        <v>104</v>
      </c>
      <c r="C161" s="85" t="s">
        <v>105</v>
      </c>
      <c r="D161" s="102" t="s">
        <v>106</v>
      </c>
      <c r="E161" s="103" t="s">
        <v>58</v>
      </c>
      <c r="F161" s="57">
        <v>7.1</v>
      </c>
      <c r="G161" s="58">
        <v>59.01</v>
      </c>
      <c r="H161" s="58">
        <v>35.35</v>
      </c>
      <c r="I161" s="59">
        <f t="shared" si="84"/>
        <v>94.36</v>
      </c>
      <c r="J161" s="59">
        <f t="shared" si="85"/>
        <v>418.971</v>
      </c>
      <c r="K161" s="59">
        <f t="shared" si="86"/>
        <v>250.985</v>
      </c>
      <c r="L161" s="59">
        <f t="shared" si="87"/>
        <v>669.956</v>
      </c>
      <c r="M161" s="60">
        <f t="shared" si="88"/>
        <v>844.21</v>
      </c>
      <c r="N161" s="3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>
      <c r="A162" s="93" t="s">
        <v>305</v>
      </c>
      <c r="B162" s="101" t="s">
        <v>108</v>
      </c>
      <c r="C162" s="85" t="s">
        <v>109</v>
      </c>
      <c r="D162" s="102" t="s">
        <v>110</v>
      </c>
      <c r="E162" s="103" t="s">
        <v>43</v>
      </c>
      <c r="F162" s="57">
        <v>0.42</v>
      </c>
      <c r="G162" s="58">
        <v>52.3</v>
      </c>
      <c r="H162" s="58">
        <v>18.85</v>
      </c>
      <c r="I162" s="59">
        <f t="shared" si="84"/>
        <v>71.15</v>
      </c>
      <c r="J162" s="59">
        <f t="shared" si="85"/>
        <v>21.966</v>
      </c>
      <c r="K162" s="59">
        <f t="shared" si="86"/>
        <v>7.917</v>
      </c>
      <c r="L162" s="59">
        <f t="shared" si="87"/>
        <v>29.883</v>
      </c>
      <c r="M162" s="60">
        <f t="shared" si="88"/>
        <v>37.66</v>
      </c>
      <c r="N162" s="3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>
      <c r="A163" s="93" t="s">
        <v>306</v>
      </c>
      <c r="B163" s="101" t="s">
        <v>307</v>
      </c>
      <c r="C163" s="85" t="s">
        <v>169</v>
      </c>
      <c r="D163" s="102" t="s">
        <v>170</v>
      </c>
      <c r="E163" s="103" t="s">
        <v>15</v>
      </c>
      <c r="F163" s="57">
        <v>1.0</v>
      </c>
      <c r="G163" s="58">
        <v>10211.91</v>
      </c>
      <c r="H163" s="58">
        <v>40.96</v>
      </c>
      <c r="I163" s="59">
        <f t="shared" si="84"/>
        <v>10252.87</v>
      </c>
      <c r="J163" s="59">
        <f t="shared" si="85"/>
        <v>10211.91</v>
      </c>
      <c r="K163" s="59">
        <f t="shared" si="86"/>
        <v>40.96</v>
      </c>
      <c r="L163" s="59">
        <f t="shared" ref="L163:L175" si="89">ROUND(J163+K163,2)</f>
        <v>10252.87</v>
      </c>
      <c r="M163" s="60">
        <f t="shared" si="88"/>
        <v>12919.64</v>
      </c>
      <c r="N163" s="3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>
      <c r="A164" s="93" t="s">
        <v>308</v>
      </c>
      <c r="B164" s="101" t="s">
        <v>285</v>
      </c>
      <c r="C164" s="85">
        <v>91871.0</v>
      </c>
      <c r="D164" s="102" t="s">
        <v>88</v>
      </c>
      <c r="E164" s="103" t="s">
        <v>51</v>
      </c>
      <c r="F164" s="57">
        <v>25.0</v>
      </c>
      <c r="G164" s="58">
        <v>7.89</v>
      </c>
      <c r="H164" s="58">
        <v>5.71</v>
      </c>
      <c r="I164" s="59">
        <f t="shared" si="84"/>
        <v>13.6</v>
      </c>
      <c r="J164" s="59">
        <f t="shared" si="85"/>
        <v>197.25</v>
      </c>
      <c r="K164" s="59">
        <f t="shared" si="86"/>
        <v>142.75</v>
      </c>
      <c r="L164" s="59">
        <f t="shared" si="89"/>
        <v>340</v>
      </c>
      <c r="M164" s="60">
        <f t="shared" si="88"/>
        <v>428.43</v>
      </c>
      <c r="N164" s="3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>
      <c r="A165" s="93" t="s">
        <v>309</v>
      </c>
      <c r="B165" s="101" t="s">
        <v>187</v>
      </c>
      <c r="C165" s="85" t="s">
        <v>114</v>
      </c>
      <c r="D165" s="102" t="s">
        <v>115</v>
      </c>
      <c r="E165" s="103" t="s">
        <v>15</v>
      </c>
      <c r="F165" s="57">
        <v>1.0</v>
      </c>
      <c r="G165" s="58">
        <v>49.03</v>
      </c>
      <c r="H165" s="58">
        <v>10.27</v>
      </c>
      <c r="I165" s="59">
        <f t="shared" si="84"/>
        <v>59.3</v>
      </c>
      <c r="J165" s="59">
        <f t="shared" si="85"/>
        <v>49.03</v>
      </c>
      <c r="K165" s="59">
        <f t="shared" si="86"/>
        <v>10.27</v>
      </c>
      <c r="L165" s="59">
        <f t="shared" si="89"/>
        <v>59.3</v>
      </c>
      <c r="M165" s="60">
        <f t="shared" si="88"/>
        <v>74.72</v>
      </c>
      <c r="N165" s="3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>
      <c r="A166" s="93" t="s">
        <v>188</v>
      </c>
      <c r="B166" s="101" t="s">
        <v>189</v>
      </c>
      <c r="C166" s="85">
        <v>102136.0</v>
      </c>
      <c r="D166" s="102" t="s">
        <v>190</v>
      </c>
      <c r="E166" s="103" t="s">
        <v>15</v>
      </c>
      <c r="F166" s="57">
        <v>1.0</v>
      </c>
      <c r="G166" s="58">
        <v>19.62</v>
      </c>
      <c r="H166" s="58">
        <v>47.14</v>
      </c>
      <c r="I166" s="59">
        <f t="shared" si="84"/>
        <v>66.76</v>
      </c>
      <c r="J166" s="59">
        <f t="shared" si="85"/>
        <v>19.62</v>
      </c>
      <c r="K166" s="59">
        <f t="shared" si="86"/>
        <v>47.14</v>
      </c>
      <c r="L166" s="59">
        <f t="shared" si="89"/>
        <v>66.76</v>
      </c>
      <c r="M166" s="60">
        <f t="shared" si="88"/>
        <v>84.12</v>
      </c>
      <c r="N166" s="3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>
      <c r="A167" s="93" t="s">
        <v>310</v>
      </c>
      <c r="B167" s="101" t="s">
        <v>192</v>
      </c>
      <c r="C167" s="85" t="s">
        <v>117</v>
      </c>
      <c r="D167" s="102" t="s">
        <v>118</v>
      </c>
      <c r="E167" s="103" t="s">
        <v>15</v>
      </c>
      <c r="F167" s="57">
        <v>1.0</v>
      </c>
      <c r="G167" s="58">
        <v>68.29</v>
      </c>
      <c r="H167" s="58">
        <v>9.07</v>
      </c>
      <c r="I167" s="59">
        <f t="shared" si="84"/>
        <v>77.36</v>
      </c>
      <c r="J167" s="59">
        <f t="shared" si="85"/>
        <v>68.29</v>
      </c>
      <c r="K167" s="59">
        <f t="shared" si="86"/>
        <v>9.07</v>
      </c>
      <c r="L167" s="59">
        <f t="shared" si="89"/>
        <v>77.36</v>
      </c>
      <c r="M167" s="60">
        <f t="shared" si="88"/>
        <v>97.48</v>
      </c>
      <c r="N167" s="3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>
      <c r="A168" s="93" t="s">
        <v>311</v>
      </c>
      <c r="B168" s="101" t="s">
        <v>194</v>
      </c>
      <c r="C168" s="85">
        <v>101917.0</v>
      </c>
      <c r="D168" s="102" t="s">
        <v>195</v>
      </c>
      <c r="E168" s="103" t="s">
        <v>15</v>
      </c>
      <c r="F168" s="57">
        <v>1.0</v>
      </c>
      <c r="G168" s="58">
        <v>117.42</v>
      </c>
      <c r="H168" s="58">
        <v>27.85</v>
      </c>
      <c r="I168" s="59">
        <f t="shared" si="84"/>
        <v>145.27</v>
      </c>
      <c r="J168" s="59">
        <f t="shared" si="85"/>
        <v>117.42</v>
      </c>
      <c r="K168" s="59">
        <f t="shared" si="86"/>
        <v>27.85</v>
      </c>
      <c r="L168" s="59">
        <f t="shared" si="89"/>
        <v>145.27</v>
      </c>
      <c r="M168" s="60">
        <f t="shared" si="88"/>
        <v>183.05</v>
      </c>
      <c r="N168" s="3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>
      <c r="A169" s="93" t="s">
        <v>312</v>
      </c>
      <c r="B169" s="101" t="s">
        <v>313</v>
      </c>
      <c r="C169" s="85" t="s">
        <v>120</v>
      </c>
      <c r="D169" s="102" t="s">
        <v>121</v>
      </c>
      <c r="E169" s="103" t="s">
        <v>51</v>
      </c>
      <c r="F169" s="57">
        <v>75.0</v>
      </c>
      <c r="G169" s="58">
        <v>3.04</v>
      </c>
      <c r="H169" s="58">
        <v>1.0</v>
      </c>
      <c r="I169" s="59">
        <f t="shared" si="84"/>
        <v>4.04</v>
      </c>
      <c r="J169" s="59">
        <f t="shared" si="85"/>
        <v>228</v>
      </c>
      <c r="K169" s="59">
        <f t="shared" si="86"/>
        <v>75</v>
      </c>
      <c r="L169" s="59">
        <f t="shared" si="89"/>
        <v>303</v>
      </c>
      <c r="M169" s="60">
        <f t="shared" si="88"/>
        <v>381.81</v>
      </c>
      <c r="N169" s="3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>
      <c r="A170" s="93" t="s">
        <v>314</v>
      </c>
      <c r="B170" s="101" t="s">
        <v>178</v>
      </c>
      <c r="C170" s="85">
        <v>92367.0</v>
      </c>
      <c r="D170" s="102" t="s">
        <v>124</v>
      </c>
      <c r="E170" s="103" t="s">
        <v>51</v>
      </c>
      <c r="F170" s="57">
        <v>4.0</v>
      </c>
      <c r="G170" s="58">
        <v>122.28</v>
      </c>
      <c r="H170" s="58">
        <v>8.08</v>
      </c>
      <c r="I170" s="59">
        <f t="shared" si="84"/>
        <v>130.36</v>
      </c>
      <c r="J170" s="59">
        <f t="shared" si="85"/>
        <v>489.12</v>
      </c>
      <c r="K170" s="59">
        <f t="shared" si="86"/>
        <v>32.32</v>
      </c>
      <c r="L170" s="59">
        <f t="shared" si="89"/>
        <v>521.44</v>
      </c>
      <c r="M170" s="60">
        <f t="shared" si="88"/>
        <v>657.07</v>
      </c>
      <c r="N170" s="3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>
      <c r="A171" s="93" t="s">
        <v>315</v>
      </c>
      <c r="B171" s="101" t="s">
        <v>180</v>
      </c>
      <c r="C171" s="85">
        <v>92353.0</v>
      </c>
      <c r="D171" s="102" t="s">
        <v>151</v>
      </c>
      <c r="E171" s="103" t="s">
        <v>15</v>
      </c>
      <c r="F171" s="57">
        <v>4.0</v>
      </c>
      <c r="G171" s="58">
        <v>119.61</v>
      </c>
      <c r="H171" s="58">
        <v>34.76</v>
      </c>
      <c r="I171" s="59">
        <f t="shared" si="84"/>
        <v>154.37</v>
      </c>
      <c r="J171" s="59">
        <f t="shared" si="85"/>
        <v>478.44</v>
      </c>
      <c r="K171" s="59">
        <f t="shared" si="86"/>
        <v>139.04</v>
      </c>
      <c r="L171" s="59">
        <f t="shared" si="89"/>
        <v>617.48</v>
      </c>
      <c r="M171" s="60">
        <f t="shared" si="88"/>
        <v>778.09</v>
      </c>
      <c r="N171" s="3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>
      <c r="A172" s="93" t="s">
        <v>316</v>
      </c>
      <c r="B172" s="101" t="s">
        <v>182</v>
      </c>
      <c r="C172" s="85">
        <v>94499.0</v>
      </c>
      <c r="D172" s="102" t="s">
        <v>126</v>
      </c>
      <c r="E172" s="103" t="s">
        <v>15</v>
      </c>
      <c r="F172" s="57">
        <v>2.0</v>
      </c>
      <c r="G172" s="58">
        <v>245.45</v>
      </c>
      <c r="H172" s="58">
        <v>15.01</v>
      </c>
      <c r="I172" s="59">
        <f t="shared" si="84"/>
        <v>260.46</v>
      </c>
      <c r="J172" s="59">
        <f t="shared" si="85"/>
        <v>490.9</v>
      </c>
      <c r="K172" s="59">
        <f t="shared" si="86"/>
        <v>30.02</v>
      </c>
      <c r="L172" s="59">
        <f t="shared" si="89"/>
        <v>520.92</v>
      </c>
      <c r="M172" s="60">
        <f t="shared" si="88"/>
        <v>656.41</v>
      </c>
      <c r="N172" s="3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>
      <c r="A173" s="93" t="s">
        <v>317</v>
      </c>
      <c r="B173" s="101" t="s">
        <v>184</v>
      </c>
      <c r="C173" s="85">
        <v>99633.0</v>
      </c>
      <c r="D173" s="102" t="s">
        <v>134</v>
      </c>
      <c r="E173" s="103" t="s">
        <v>15</v>
      </c>
      <c r="F173" s="57">
        <v>1.0</v>
      </c>
      <c r="G173" s="58">
        <v>365.31</v>
      </c>
      <c r="H173" s="58">
        <v>18.8</v>
      </c>
      <c r="I173" s="59">
        <f t="shared" si="84"/>
        <v>384.11</v>
      </c>
      <c r="J173" s="59">
        <f t="shared" si="85"/>
        <v>365.31</v>
      </c>
      <c r="K173" s="59">
        <f t="shared" si="86"/>
        <v>18.8</v>
      </c>
      <c r="L173" s="59">
        <f t="shared" si="89"/>
        <v>384.11</v>
      </c>
      <c r="M173" s="60">
        <f t="shared" si="88"/>
        <v>484.02</v>
      </c>
      <c r="N173" s="3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>
      <c r="A174" s="93" t="s">
        <v>318</v>
      </c>
      <c r="B174" s="101" t="s">
        <v>157</v>
      </c>
      <c r="C174" s="85">
        <v>92377.0</v>
      </c>
      <c r="D174" s="102" t="s">
        <v>128</v>
      </c>
      <c r="E174" s="103" t="s">
        <v>15</v>
      </c>
      <c r="F174" s="57">
        <v>8.0</v>
      </c>
      <c r="G174" s="58">
        <v>72.55</v>
      </c>
      <c r="H174" s="58">
        <v>24.31</v>
      </c>
      <c r="I174" s="59">
        <f t="shared" si="84"/>
        <v>96.86</v>
      </c>
      <c r="J174" s="59">
        <f t="shared" si="85"/>
        <v>580.4</v>
      </c>
      <c r="K174" s="59">
        <f t="shared" si="86"/>
        <v>194.48</v>
      </c>
      <c r="L174" s="59">
        <f t="shared" si="89"/>
        <v>774.88</v>
      </c>
      <c r="M174" s="60">
        <f t="shared" si="88"/>
        <v>976.43</v>
      </c>
      <c r="N174" s="3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>
      <c r="A175" s="93" t="s">
        <v>319</v>
      </c>
      <c r="B175" s="101" t="s">
        <v>200</v>
      </c>
      <c r="C175" s="85">
        <v>92357.0</v>
      </c>
      <c r="D175" s="102" t="s">
        <v>149</v>
      </c>
      <c r="E175" s="103" t="s">
        <v>15</v>
      </c>
      <c r="F175" s="57">
        <v>1.0</v>
      </c>
      <c r="G175" s="58">
        <v>165.36</v>
      </c>
      <c r="H175" s="58">
        <v>46.36</v>
      </c>
      <c r="I175" s="59">
        <f t="shared" si="84"/>
        <v>211.72</v>
      </c>
      <c r="J175" s="59">
        <f t="shared" si="85"/>
        <v>165.36</v>
      </c>
      <c r="K175" s="59">
        <f t="shared" si="86"/>
        <v>46.36</v>
      </c>
      <c r="L175" s="59">
        <f t="shared" si="89"/>
        <v>211.72</v>
      </c>
      <c r="M175" s="60">
        <f t="shared" si="88"/>
        <v>266.79</v>
      </c>
      <c r="N175" s="3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ht="12.75" customHeight="1">
      <c r="A176" s="44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5"/>
      <c r="N176" s="3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ht="12.75" customHeight="1">
      <c r="A177" s="115" t="s">
        <v>320</v>
      </c>
      <c r="B177" s="116"/>
      <c r="C177" s="117"/>
      <c r="D177" s="78" t="s">
        <v>321</v>
      </c>
      <c r="E177" s="34"/>
      <c r="F177" s="34"/>
      <c r="G177" s="34"/>
      <c r="H177" s="34"/>
      <c r="I177" s="35"/>
      <c r="J177" s="79">
        <f t="shared" ref="J177:M177" si="90">SUM(J178:J183)</f>
        <v>6699.55</v>
      </c>
      <c r="K177" s="79">
        <f t="shared" si="90"/>
        <v>540.91</v>
      </c>
      <c r="L177" s="79">
        <f t="shared" si="90"/>
        <v>7240.46</v>
      </c>
      <c r="M177" s="79">
        <f t="shared" si="90"/>
        <v>9123.69</v>
      </c>
      <c r="N177" s="74">
        <f>M177</f>
        <v>9123.69</v>
      </c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>
      <c r="A178" s="93" t="s">
        <v>322</v>
      </c>
      <c r="B178" s="101" t="s">
        <v>178</v>
      </c>
      <c r="C178" s="85">
        <v>92367.0</v>
      </c>
      <c r="D178" s="102" t="s">
        <v>124</v>
      </c>
      <c r="E178" s="103" t="s">
        <v>51</v>
      </c>
      <c r="F178" s="57">
        <f>21+9</f>
        <v>30</v>
      </c>
      <c r="G178" s="58">
        <v>122.28</v>
      </c>
      <c r="H178" s="58">
        <v>8.08</v>
      </c>
      <c r="I178" s="59">
        <f t="shared" ref="I178:I183" si="91">G178+H178</f>
        <v>130.36</v>
      </c>
      <c r="J178" s="59">
        <f t="shared" ref="J178:J183" si="92">G178*F178</f>
        <v>3668.4</v>
      </c>
      <c r="K178" s="59">
        <f t="shared" ref="K178:K183" si="93">H178*F178</f>
        <v>242.4</v>
      </c>
      <c r="L178" s="59">
        <f t="shared" ref="L178:L183" si="94">ROUND(J178+K178,2)</f>
        <v>3910.8</v>
      </c>
      <c r="M178" s="60">
        <f t="shared" ref="M178:M183" si="95">ROUND(L178*(1+$M$4),2)</f>
        <v>4928</v>
      </c>
      <c r="N178" s="3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>
      <c r="A179" s="93" t="s">
        <v>323</v>
      </c>
      <c r="B179" s="101" t="s">
        <v>202</v>
      </c>
      <c r="C179" s="85" t="s">
        <v>203</v>
      </c>
      <c r="D179" s="102" t="s">
        <v>204</v>
      </c>
      <c r="E179" s="103" t="s">
        <v>15</v>
      </c>
      <c r="F179" s="57">
        <v>1.0</v>
      </c>
      <c r="G179" s="58">
        <f>1474.05-393.22</f>
        <v>1080.83</v>
      </c>
      <c r="H179" s="58">
        <v>100.35</v>
      </c>
      <c r="I179" s="59">
        <f t="shared" si="91"/>
        <v>1181.18</v>
      </c>
      <c r="J179" s="59">
        <f t="shared" si="92"/>
        <v>1080.83</v>
      </c>
      <c r="K179" s="59">
        <f t="shared" si="93"/>
        <v>100.35</v>
      </c>
      <c r="L179" s="59">
        <f t="shared" si="94"/>
        <v>1181.18</v>
      </c>
      <c r="M179" s="60">
        <f t="shared" si="95"/>
        <v>1488.4</v>
      </c>
      <c r="N179" s="3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>
      <c r="A180" s="93" t="s">
        <v>324</v>
      </c>
      <c r="B180" s="101" t="s">
        <v>206</v>
      </c>
      <c r="C180" s="85" t="s">
        <v>207</v>
      </c>
      <c r="D180" s="102" t="s">
        <v>208</v>
      </c>
      <c r="E180" s="103" t="s">
        <v>15</v>
      </c>
      <c r="F180" s="57">
        <v>2.0</v>
      </c>
      <c r="G180" s="58">
        <v>633.26</v>
      </c>
      <c r="H180" s="58">
        <v>0.0</v>
      </c>
      <c r="I180" s="59">
        <f t="shared" si="91"/>
        <v>633.26</v>
      </c>
      <c r="J180" s="59">
        <f t="shared" si="92"/>
        <v>1266.52</v>
      </c>
      <c r="K180" s="59">
        <f t="shared" si="93"/>
        <v>0</v>
      </c>
      <c r="L180" s="59">
        <f t="shared" si="94"/>
        <v>1266.52</v>
      </c>
      <c r="M180" s="60">
        <f t="shared" si="95"/>
        <v>1595.94</v>
      </c>
      <c r="N180" s="3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>
      <c r="A181" s="93" t="s">
        <v>325</v>
      </c>
      <c r="B181" s="101" t="s">
        <v>210</v>
      </c>
      <c r="C181" s="85">
        <v>92347.0</v>
      </c>
      <c r="D181" s="102" t="s">
        <v>155</v>
      </c>
      <c r="E181" s="103" t="s">
        <v>15</v>
      </c>
      <c r="F181" s="57">
        <v>3.0</v>
      </c>
      <c r="G181" s="58">
        <v>84.14</v>
      </c>
      <c r="H181" s="58">
        <v>23.19</v>
      </c>
      <c r="I181" s="59">
        <f t="shared" si="91"/>
        <v>107.33</v>
      </c>
      <c r="J181" s="59">
        <f t="shared" si="92"/>
        <v>252.42</v>
      </c>
      <c r="K181" s="59">
        <f t="shared" si="93"/>
        <v>69.57</v>
      </c>
      <c r="L181" s="59">
        <f t="shared" si="94"/>
        <v>321.99</v>
      </c>
      <c r="M181" s="60">
        <f t="shared" si="95"/>
        <v>405.74</v>
      </c>
      <c r="N181" s="3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>
      <c r="A182" s="93" t="s">
        <v>326</v>
      </c>
      <c r="B182" s="101" t="s">
        <v>180</v>
      </c>
      <c r="C182" s="85">
        <v>92353.0</v>
      </c>
      <c r="D182" s="102" t="s">
        <v>151</v>
      </c>
      <c r="E182" s="103" t="s">
        <v>15</v>
      </c>
      <c r="F182" s="57">
        <v>3.0</v>
      </c>
      <c r="G182" s="58">
        <v>119.61</v>
      </c>
      <c r="H182" s="58">
        <v>34.76</v>
      </c>
      <c r="I182" s="59">
        <f t="shared" si="91"/>
        <v>154.37</v>
      </c>
      <c r="J182" s="59">
        <f t="shared" si="92"/>
        <v>358.83</v>
      </c>
      <c r="K182" s="59">
        <f t="shared" si="93"/>
        <v>104.28</v>
      </c>
      <c r="L182" s="59">
        <f t="shared" si="94"/>
        <v>463.11</v>
      </c>
      <c r="M182" s="60">
        <f t="shared" si="95"/>
        <v>583.56</v>
      </c>
      <c r="N182" s="3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>
      <c r="A183" s="93" t="s">
        <v>327</v>
      </c>
      <c r="B183" s="101" t="s">
        <v>157</v>
      </c>
      <c r="C183" s="85">
        <v>92377.0</v>
      </c>
      <c r="D183" s="102" t="s">
        <v>128</v>
      </c>
      <c r="E183" s="103" t="s">
        <v>15</v>
      </c>
      <c r="F183" s="57">
        <v>1.0</v>
      </c>
      <c r="G183" s="58">
        <v>72.55</v>
      </c>
      <c r="H183" s="58">
        <v>24.31</v>
      </c>
      <c r="I183" s="59">
        <f t="shared" si="91"/>
        <v>96.86</v>
      </c>
      <c r="J183" s="59">
        <f t="shared" si="92"/>
        <v>72.55</v>
      </c>
      <c r="K183" s="59">
        <f t="shared" si="93"/>
        <v>24.31</v>
      </c>
      <c r="L183" s="59">
        <f t="shared" si="94"/>
        <v>96.86</v>
      </c>
      <c r="M183" s="60">
        <f t="shared" si="95"/>
        <v>122.05</v>
      </c>
      <c r="N183" s="3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ht="12.75" customHeight="1">
      <c r="A184" s="44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5"/>
      <c r="N184" s="3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ht="12.75" customHeight="1">
      <c r="A185" s="115" t="s">
        <v>328</v>
      </c>
      <c r="B185" s="116"/>
      <c r="C185" s="117"/>
      <c r="D185" s="78" t="s">
        <v>329</v>
      </c>
      <c r="E185" s="34"/>
      <c r="F185" s="34"/>
      <c r="G185" s="34"/>
      <c r="H185" s="34"/>
      <c r="I185" s="35"/>
      <c r="J185" s="79">
        <f t="shared" ref="J185:M185" si="96">SUM(J186:J192)</f>
        <v>13323.33</v>
      </c>
      <c r="K185" s="79">
        <f t="shared" si="96"/>
        <v>1137.44</v>
      </c>
      <c r="L185" s="79">
        <f t="shared" si="96"/>
        <v>14460.77</v>
      </c>
      <c r="M185" s="79">
        <f t="shared" si="96"/>
        <v>18222.01</v>
      </c>
      <c r="N185" s="74">
        <f>M185</f>
        <v>18222.01</v>
      </c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>
      <c r="A186" s="93" t="s">
        <v>330</v>
      </c>
      <c r="B186" s="101" t="s">
        <v>178</v>
      </c>
      <c r="C186" s="85">
        <v>92367.0</v>
      </c>
      <c r="D186" s="102" t="s">
        <v>124</v>
      </c>
      <c r="E186" s="103" t="s">
        <v>51</v>
      </c>
      <c r="F186" s="57">
        <v>78.0</v>
      </c>
      <c r="G186" s="58">
        <v>122.28</v>
      </c>
      <c r="H186" s="58">
        <v>8.08</v>
      </c>
      <c r="I186" s="59">
        <f t="shared" ref="I186:I192" si="97">G186+H186</f>
        <v>130.36</v>
      </c>
      <c r="J186" s="59">
        <f t="shared" ref="J186:J192" si="98">G186*F186</f>
        <v>9537.84</v>
      </c>
      <c r="K186" s="59">
        <f t="shared" ref="K186:K192" si="99">H186*F186</f>
        <v>630.24</v>
      </c>
      <c r="L186" s="59">
        <f t="shared" ref="L186:L192" si="100">ROUND(J186+K186,2)</f>
        <v>10168.08</v>
      </c>
      <c r="M186" s="60">
        <f t="shared" ref="M186:M192" si="101">ROUND(L186*(1+$M$4),2)</f>
        <v>12812.8</v>
      </c>
      <c r="N186" s="3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>
      <c r="A187" s="93" t="s">
        <v>331</v>
      </c>
      <c r="B187" s="101" t="s">
        <v>200</v>
      </c>
      <c r="C187" s="85">
        <v>92357.0</v>
      </c>
      <c r="D187" s="102" t="s">
        <v>149</v>
      </c>
      <c r="E187" s="103" t="s">
        <v>15</v>
      </c>
      <c r="F187" s="57">
        <v>1.0</v>
      </c>
      <c r="G187" s="58">
        <v>165.36</v>
      </c>
      <c r="H187" s="58">
        <v>46.36</v>
      </c>
      <c r="I187" s="59">
        <f t="shared" si="97"/>
        <v>211.72</v>
      </c>
      <c r="J187" s="59">
        <f t="shared" si="98"/>
        <v>165.36</v>
      </c>
      <c r="K187" s="59">
        <f t="shared" si="99"/>
        <v>46.36</v>
      </c>
      <c r="L187" s="59">
        <f t="shared" si="100"/>
        <v>211.72</v>
      </c>
      <c r="M187" s="60">
        <f t="shared" si="101"/>
        <v>266.79</v>
      </c>
      <c r="N187" s="3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>
      <c r="A188" s="93" t="s">
        <v>332</v>
      </c>
      <c r="B188" s="101" t="s">
        <v>202</v>
      </c>
      <c r="C188" s="85" t="s">
        <v>203</v>
      </c>
      <c r="D188" s="102" t="s">
        <v>204</v>
      </c>
      <c r="E188" s="103" t="s">
        <v>15</v>
      </c>
      <c r="F188" s="57">
        <v>1.0</v>
      </c>
      <c r="G188" s="58">
        <f>1474.05-393.22</f>
        <v>1080.83</v>
      </c>
      <c r="H188" s="58">
        <v>100.35</v>
      </c>
      <c r="I188" s="59">
        <f t="shared" si="97"/>
        <v>1181.18</v>
      </c>
      <c r="J188" s="59">
        <f t="shared" si="98"/>
        <v>1080.83</v>
      </c>
      <c r="K188" s="59">
        <f t="shared" si="99"/>
        <v>100.35</v>
      </c>
      <c r="L188" s="59">
        <f t="shared" si="100"/>
        <v>1181.18</v>
      </c>
      <c r="M188" s="60">
        <f t="shared" si="101"/>
        <v>1488.4</v>
      </c>
      <c r="N188" s="3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>
      <c r="A189" s="93" t="s">
        <v>333</v>
      </c>
      <c r="B189" s="101" t="s">
        <v>206</v>
      </c>
      <c r="C189" s="85" t="s">
        <v>207</v>
      </c>
      <c r="D189" s="102" t="s">
        <v>208</v>
      </c>
      <c r="E189" s="103" t="s">
        <v>15</v>
      </c>
      <c r="F189" s="57">
        <v>2.0</v>
      </c>
      <c r="G189" s="58">
        <v>633.26</v>
      </c>
      <c r="H189" s="58">
        <v>0.0</v>
      </c>
      <c r="I189" s="59">
        <f t="shared" si="97"/>
        <v>633.26</v>
      </c>
      <c r="J189" s="59">
        <f t="shared" si="98"/>
        <v>1266.52</v>
      </c>
      <c r="K189" s="59">
        <f t="shared" si="99"/>
        <v>0</v>
      </c>
      <c r="L189" s="59">
        <f t="shared" si="100"/>
        <v>1266.52</v>
      </c>
      <c r="M189" s="60">
        <f t="shared" si="101"/>
        <v>1595.94</v>
      </c>
      <c r="N189" s="3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>
      <c r="A190" s="93" t="s">
        <v>334</v>
      </c>
      <c r="B190" s="101" t="s">
        <v>210</v>
      </c>
      <c r="C190" s="85">
        <v>92347.0</v>
      </c>
      <c r="D190" s="102" t="s">
        <v>155</v>
      </c>
      <c r="E190" s="103" t="s">
        <v>15</v>
      </c>
      <c r="F190" s="57">
        <v>10.0</v>
      </c>
      <c r="G190" s="58">
        <v>84.14</v>
      </c>
      <c r="H190" s="58">
        <v>23.19</v>
      </c>
      <c r="I190" s="59">
        <f t="shared" si="97"/>
        <v>107.33</v>
      </c>
      <c r="J190" s="59">
        <f t="shared" si="98"/>
        <v>841.4</v>
      </c>
      <c r="K190" s="59">
        <f t="shared" si="99"/>
        <v>231.9</v>
      </c>
      <c r="L190" s="59">
        <f t="shared" si="100"/>
        <v>1073.3</v>
      </c>
      <c r="M190" s="60">
        <f t="shared" si="101"/>
        <v>1352.47</v>
      </c>
      <c r="N190" s="3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>
      <c r="A191" s="93" t="s">
        <v>335</v>
      </c>
      <c r="B191" s="101" t="s">
        <v>180</v>
      </c>
      <c r="C191" s="85">
        <v>92353.0</v>
      </c>
      <c r="D191" s="102" t="s">
        <v>151</v>
      </c>
      <c r="E191" s="103" t="s">
        <v>15</v>
      </c>
      <c r="F191" s="57">
        <v>3.0</v>
      </c>
      <c r="G191" s="58">
        <v>119.61</v>
      </c>
      <c r="H191" s="58">
        <v>34.76</v>
      </c>
      <c r="I191" s="59">
        <f t="shared" si="97"/>
        <v>154.37</v>
      </c>
      <c r="J191" s="59">
        <f t="shared" si="98"/>
        <v>358.83</v>
      </c>
      <c r="K191" s="59">
        <f t="shared" si="99"/>
        <v>104.28</v>
      </c>
      <c r="L191" s="59">
        <f t="shared" si="100"/>
        <v>463.11</v>
      </c>
      <c r="M191" s="60">
        <f t="shared" si="101"/>
        <v>583.56</v>
      </c>
      <c r="N191" s="3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>
      <c r="A192" s="93" t="s">
        <v>336</v>
      </c>
      <c r="B192" s="101" t="s">
        <v>157</v>
      </c>
      <c r="C192" s="85">
        <v>92377.0</v>
      </c>
      <c r="D192" s="102" t="s">
        <v>128</v>
      </c>
      <c r="E192" s="103" t="s">
        <v>15</v>
      </c>
      <c r="F192" s="57">
        <v>1.0</v>
      </c>
      <c r="G192" s="58">
        <v>72.55</v>
      </c>
      <c r="H192" s="58">
        <v>24.31</v>
      </c>
      <c r="I192" s="59">
        <f t="shared" si="97"/>
        <v>96.86</v>
      </c>
      <c r="J192" s="59">
        <f t="shared" si="98"/>
        <v>72.55</v>
      </c>
      <c r="K192" s="59">
        <f t="shared" si="99"/>
        <v>24.31</v>
      </c>
      <c r="L192" s="59">
        <f t="shared" si="100"/>
        <v>96.86</v>
      </c>
      <c r="M192" s="60">
        <f t="shared" si="101"/>
        <v>122.05</v>
      </c>
      <c r="N192" s="3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ht="12.75" customHeight="1">
      <c r="A193" s="4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5"/>
      <c r="N193" s="3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ht="12.75" customHeight="1">
      <c r="A194" s="115" t="s">
        <v>337</v>
      </c>
      <c r="B194" s="116"/>
      <c r="C194" s="117"/>
      <c r="D194" s="78" t="s">
        <v>338</v>
      </c>
      <c r="E194" s="34"/>
      <c r="F194" s="34"/>
      <c r="G194" s="34"/>
      <c r="H194" s="34"/>
      <c r="I194" s="35"/>
      <c r="J194" s="79">
        <f t="shared" ref="J194:M194" si="102">SUM(J195:J201)</f>
        <v>9410.37</v>
      </c>
      <c r="K194" s="79">
        <f t="shared" si="102"/>
        <v>878.88</v>
      </c>
      <c r="L194" s="79">
        <f t="shared" si="102"/>
        <v>10289.25</v>
      </c>
      <c r="M194" s="79">
        <f t="shared" si="102"/>
        <v>12965.48</v>
      </c>
      <c r="N194" s="74">
        <f>M194</f>
        <v>12965.48</v>
      </c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>
      <c r="A195" s="93" t="s">
        <v>339</v>
      </c>
      <c r="B195" s="101" t="s">
        <v>178</v>
      </c>
      <c r="C195" s="85">
        <v>92367.0</v>
      </c>
      <c r="D195" s="102" t="s">
        <v>124</v>
      </c>
      <c r="E195" s="103" t="s">
        <v>51</v>
      </c>
      <c r="F195" s="57">
        <v>46.0</v>
      </c>
      <c r="G195" s="58">
        <v>122.28</v>
      </c>
      <c r="H195" s="58">
        <v>8.08</v>
      </c>
      <c r="I195" s="59">
        <f t="shared" ref="I195:I201" si="103">G195+H195</f>
        <v>130.36</v>
      </c>
      <c r="J195" s="59">
        <f t="shared" ref="J195:J201" si="104">G195*F195</f>
        <v>5624.88</v>
      </c>
      <c r="K195" s="59">
        <f t="shared" ref="K195:K201" si="105">H195*F195</f>
        <v>371.68</v>
      </c>
      <c r="L195" s="59">
        <f t="shared" ref="L195:L201" si="106">ROUND(J195+K195,2)</f>
        <v>5996.56</v>
      </c>
      <c r="M195" s="60">
        <f t="shared" ref="M195:M201" si="107">ROUND(L195*(1+$M$4),2)</f>
        <v>7556.27</v>
      </c>
      <c r="N195" s="3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>
      <c r="A196" s="93" t="s">
        <v>340</v>
      </c>
      <c r="B196" s="101" t="s">
        <v>200</v>
      </c>
      <c r="C196" s="85">
        <v>92357.0</v>
      </c>
      <c r="D196" s="102" t="s">
        <v>149</v>
      </c>
      <c r="E196" s="103" t="s">
        <v>15</v>
      </c>
      <c r="F196" s="57">
        <v>1.0</v>
      </c>
      <c r="G196" s="58">
        <v>165.36</v>
      </c>
      <c r="H196" s="58">
        <v>46.36</v>
      </c>
      <c r="I196" s="59">
        <f t="shared" si="103"/>
        <v>211.72</v>
      </c>
      <c r="J196" s="59">
        <f t="shared" si="104"/>
        <v>165.36</v>
      </c>
      <c r="K196" s="59">
        <f t="shared" si="105"/>
        <v>46.36</v>
      </c>
      <c r="L196" s="59">
        <f t="shared" si="106"/>
        <v>211.72</v>
      </c>
      <c r="M196" s="60">
        <f t="shared" si="107"/>
        <v>266.79</v>
      </c>
      <c r="N196" s="3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>
      <c r="A197" s="93" t="s">
        <v>341</v>
      </c>
      <c r="B197" s="101" t="s">
        <v>202</v>
      </c>
      <c r="C197" s="85" t="s">
        <v>203</v>
      </c>
      <c r="D197" s="102" t="s">
        <v>204</v>
      </c>
      <c r="E197" s="103" t="s">
        <v>15</v>
      </c>
      <c r="F197" s="57">
        <v>1.0</v>
      </c>
      <c r="G197" s="58">
        <f>1474.05-393.22</f>
        <v>1080.83</v>
      </c>
      <c r="H197" s="58">
        <v>100.35</v>
      </c>
      <c r="I197" s="59">
        <f t="shared" si="103"/>
        <v>1181.18</v>
      </c>
      <c r="J197" s="59">
        <f t="shared" si="104"/>
        <v>1080.83</v>
      </c>
      <c r="K197" s="59">
        <f t="shared" si="105"/>
        <v>100.35</v>
      </c>
      <c r="L197" s="59">
        <f t="shared" si="106"/>
        <v>1181.18</v>
      </c>
      <c r="M197" s="60">
        <f t="shared" si="107"/>
        <v>1488.4</v>
      </c>
      <c r="N197" s="3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>
      <c r="A198" s="93" t="s">
        <v>342</v>
      </c>
      <c r="B198" s="101" t="s">
        <v>206</v>
      </c>
      <c r="C198" s="85" t="s">
        <v>207</v>
      </c>
      <c r="D198" s="102" t="s">
        <v>208</v>
      </c>
      <c r="E198" s="103" t="s">
        <v>15</v>
      </c>
      <c r="F198" s="57">
        <v>2.0</v>
      </c>
      <c r="G198" s="58">
        <v>633.26</v>
      </c>
      <c r="H198" s="58">
        <v>0.0</v>
      </c>
      <c r="I198" s="59">
        <f t="shared" si="103"/>
        <v>633.26</v>
      </c>
      <c r="J198" s="59">
        <f t="shared" si="104"/>
        <v>1266.52</v>
      </c>
      <c r="K198" s="59">
        <f t="shared" si="105"/>
        <v>0</v>
      </c>
      <c r="L198" s="59">
        <f t="shared" si="106"/>
        <v>1266.52</v>
      </c>
      <c r="M198" s="60">
        <f t="shared" si="107"/>
        <v>1595.94</v>
      </c>
      <c r="N198" s="3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>
      <c r="A199" s="93" t="s">
        <v>343</v>
      </c>
      <c r="B199" s="101" t="s">
        <v>210</v>
      </c>
      <c r="C199" s="85">
        <v>92347.0</v>
      </c>
      <c r="D199" s="102" t="s">
        <v>155</v>
      </c>
      <c r="E199" s="103" t="s">
        <v>15</v>
      </c>
      <c r="F199" s="57">
        <v>10.0</v>
      </c>
      <c r="G199" s="58">
        <v>84.14</v>
      </c>
      <c r="H199" s="58">
        <v>23.19</v>
      </c>
      <c r="I199" s="59">
        <f t="shared" si="103"/>
        <v>107.33</v>
      </c>
      <c r="J199" s="59">
        <f t="shared" si="104"/>
        <v>841.4</v>
      </c>
      <c r="K199" s="59">
        <f t="shared" si="105"/>
        <v>231.9</v>
      </c>
      <c r="L199" s="59">
        <f t="shared" si="106"/>
        <v>1073.3</v>
      </c>
      <c r="M199" s="60">
        <f t="shared" si="107"/>
        <v>1352.47</v>
      </c>
      <c r="N199" s="3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>
      <c r="A200" s="93" t="s">
        <v>344</v>
      </c>
      <c r="B200" s="101" t="s">
        <v>180</v>
      </c>
      <c r="C200" s="85">
        <v>92353.0</v>
      </c>
      <c r="D200" s="102" t="s">
        <v>151</v>
      </c>
      <c r="E200" s="103" t="s">
        <v>15</v>
      </c>
      <c r="F200" s="57">
        <v>3.0</v>
      </c>
      <c r="G200" s="58">
        <v>119.61</v>
      </c>
      <c r="H200" s="58">
        <v>34.76</v>
      </c>
      <c r="I200" s="59">
        <f t="shared" si="103"/>
        <v>154.37</v>
      </c>
      <c r="J200" s="59">
        <f t="shared" si="104"/>
        <v>358.83</v>
      </c>
      <c r="K200" s="59">
        <f t="shared" si="105"/>
        <v>104.28</v>
      </c>
      <c r="L200" s="59">
        <f t="shared" si="106"/>
        <v>463.11</v>
      </c>
      <c r="M200" s="60">
        <f t="shared" si="107"/>
        <v>583.56</v>
      </c>
      <c r="N200" s="3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>
      <c r="A201" s="93" t="s">
        <v>345</v>
      </c>
      <c r="B201" s="101" t="s">
        <v>157</v>
      </c>
      <c r="C201" s="85">
        <v>92377.0</v>
      </c>
      <c r="D201" s="102" t="s">
        <v>128</v>
      </c>
      <c r="E201" s="103" t="s">
        <v>15</v>
      </c>
      <c r="F201" s="57">
        <v>1.0</v>
      </c>
      <c r="G201" s="58">
        <v>72.55</v>
      </c>
      <c r="H201" s="58">
        <v>24.31</v>
      </c>
      <c r="I201" s="59">
        <f t="shared" si="103"/>
        <v>96.86</v>
      </c>
      <c r="J201" s="59">
        <f t="shared" si="104"/>
        <v>72.55</v>
      </c>
      <c r="K201" s="59">
        <f t="shared" si="105"/>
        <v>24.31</v>
      </c>
      <c r="L201" s="59">
        <f t="shared" si="106"/>
        <v>96.86</v>
      </c>
      <c r="M201" s="60">
        <f t="shared" si="107"/>
        <v>122.05</v>
      </c>
      <c r="N201" s="3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ht="12.75" customHeight="1">
      <c r="A202" s="122"/>
      <c r="B202" s="130"/>
      <c r="C202" s="130"/>
      <c r="D202" s="130"/>
      <c r="E202" s="130"/>
      <c r="F202" s="130"/>
      <c r="G202" s="131"/>
      <c r="H202" s="131"/>
      <c r="I202" s="130"/>
      <c r="J202" s="130"/>
      <c r="K202" s="130"/>
      <c r="L202" s="130"/>
      <c r="M202" s="132"/>
      <c r="N202" s="3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ht="12.75" customHeight="1">
      <c r="A203" s="115" t="s">
        <v>346</v>
      </c>
      <c r="B203" s="116"/>
      <c r="C203" s="117"/>
      <c r="D203" s="78" t="s">
        <v>347</v>
      </c>
      <c r="E203" s="34"/>
      <c r="F203" s="34"/>
      <c r="G203" s="34"/>
      <c r="H203" s="34"/>
      <c r="I203" s="35"/>
      <c r="J203" s="79">
        <f t="shared" ref="J203:M203" si="108">SUM(J204:J210)</f>
        <v>9035.67</v>
      </c>
      <c r="K203" s="79">
        <f t="shared" si="108"/>
        <v>801.23</v>
      </c>
      <c r="L203" s="79">
        <f t="shared" si="108"/>
        <v>9836.9</v>
      </c>
      <c r="M203" s="79">
        <f t="shared" si="108"/>
        <v>12395.47</v>
      </c>
      <c r="N203" s="74">
        <f>M203</f>
        <v>12395.47</v>
      </c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>
      <c r="A204" s="93" t="s">
        <v>348</v>
      </c>
      <c r="B204" s="101" t="s">
        <v>178</v>
      </c>
      <c r="C204" s="85">
        <v>92367.0</v>
      </c>
      <c r="D204" s="102" t="s">
        <v>124</v>
      </c>
      <c r="E204" s="103" t="s">
        <v>51</v>
      </c>
      <c r="F204" s="57">
        <v>45.0</v>
      </c>
      <c r="G204" s="58">
        <v>122.28</v>
      </c>
      <c r="H204" s="58">
        <v>8.08</v>
      </c>
      <c r="I204" s="59">
        <f t="shared" ref="I204:I210" si="109">G204+H204</f>
        <v>130.36</v>
      </c>
      <c r="J204" s="59">
        <f t="shared" ref="J204:J210" si="110">G204*F204</f>
        <v>5502.6</v>
      </c>
      <c r="K204" s="59">
        <f t="shared" ref="K204:K210" si="111">H204*F204</f>
        <v>363.6</v>
      </c>
      <c r="L204" s="59">
        <f t="shared" ref="L204:L210" si="112">ROUND(J204+K204,2)</f>
        <v>5866.2</v>
      </c>
      <c r="M204" s="60">
        <f t="shared" ref="M204:M210" si="113">ROUND(L204*(1+$M$4),2)</f>
        <v>7392</v>
      </c>
      <c r="N204" s="3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>
      <c r="A205" s="93" t="s">
        <v>349</v>
      </c>
      <c r="B205" s="101" t="s">
        <v>200</v>
      </c>
      <c r="C205" s="85">
        <v>92357.0</v>
      </c>
      <c r="D205" s="102" t="s">
        <v>149</v>
      </c>
      <c r="E205" s="103" t="s">
        <v>15</v>
      </c>
      <c r="F205" s="57">
        <v>1.0</v>
      </c>
      <c r="G205" s="58">
        <v>165.36</v>
      </c>
      <c r="H205" s="58">
        <v>46.36</v>
      </c>
      <c r="I205" s="59">
        <f t="shared" si="109"/>
        <v>211.72</v>
      </c>
      <c r="J205" s="59">
        <f t="shared" si="110"/>
        <v>165.36</v>
      </c>
      <c r="K205" s="59">
        <f t="shared" si="111"/>
        <v>46.36</v>
      </c>
      <c r="L205" s="59">
        <f t="shared" si="112"/>
        <v>211.72</v>
      </c>
      <c r="M205" s="60">
        <f t="shared" si="113"/>
        <v>266.79</v>
      </c>
      <c r="N205" s="3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>
      <c r="A206" s="93" t="s">
        <v>350</v>
      </c>
      <c r="B206" s="101" t="s">
        <v>202</v>
      </c>
      <c r="C206" s="85" t="s">
        <v>203</v>
      </c>
      <c r="D206" s="102" t="s">
        <v>204</v>
      </c>
      <c r="E206" s="103" t="s">
        <v>15</v>
      </c>
      <c r="F206" s="57">
        <v>1.0</v>
      </c>
      <c r="G206" s="58">
        <f>1474.05-393.22</f>
        <v>1080.83</v>
      </c>
      <c r="H206" s="58">
        <v>100.35</v>
      </c>
      <c r="I206" s="59">
        <f t="shared" si="109"/>
        <v>1181.18</v>
      </c>
      <c r="J206" s="59">
        <f t="shared" si="110"/>
        <v>1080.83</v>
      </c>
      <c r="K206" s="59">
        <f t="shared" si="111"/>
        <v>100.35</v>
      </c>
      <c r="L206" s="59">
        <f t="shared" si="112"/>
        <v>1181.18</v>
      </c>
      <c r="M206" s="60">
        <f t="shared" si="113"/>
        <v>1488.4</v>
      </c>
      <c r="N206" s="3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>
      <c r="A207" s="93" t="s">
        <v>351</v>
      </c>
      <c r="B207" s="101" t="s">
        <v>206</v>
      </c>
      <c r="C207" s="85" t="s">
        <v>207</v>
      </c>
      <c r="D207" s="102" t="s">
        <v>208</v>
      </c>
      <c r="E207" s="103" t="s">
        <v>15</v>
      </c>
      <c r="F207" s="57">
        <v>2.0</v>
      </c>
      <c r="G207" s="58">
        <v>633.26</v>
      </c>
      <c r="H207" s="58">
        <v>0.0</v>
      </c>
      <c r="I207" s="59">
        <f t="shared" si="109"/>
        <v>633.26</v>
      </c>
      <c r="J207" s="59">
        <f t="shared" si="110"/>
        <v>1266.52</v>
      </c>
      <c r="K207" s="59">
        <f t="shared" si="111"/>
        <v>0</v>
      </c>
      <c r="L207" s="59">
        <f t="shared" si="112"/>
        <v>1266.52</v>
      </c>
      <c r="M207" s="60">
        <f t="shared" si="113"/>
        <v>1595.94</v>
      </c>
      <c r="N207" s="3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>
      <c r="A208" s="93" t="s">
        <v>352</v>
      </c>
      <c r="B208" s="101" t="s">
        <v>210</v>
      </c>
      <c r="C208" s="85">
        <v>92347.0</v>
      </c>
      <c r="D208" s="102" t="s">
        <v>155</v>
      </c>
      <c r="E208" s="103" t="s">
        <v>15</v>
      </c>
      <c r="F208" s="57">
        <v>7.0</v>
      </c>
      <c r="G208" s="58">
        <v>84.14</v>
      </c>
      <c r="H208" s="58">
        <v>23.19</v>
      </c>
      <c r="I208" s="59">
        <f t="shared" si="109"/>
        <v>107.33</v>
      </c>
      <c r="J208" s="59">
        <f t="shared" si="110"/>
        <v>588.98</v>
      </c>
      <c r="K208" s="59">
        <f t="shared" si="111"/>
        <v>162.33</v>
      </c>
      <c r="L208" s="59">
        <f t="shared" si="112"/>
        <v>751.31</v>
      </c>
      <c r="M208" s="60">
        <f t="shared" si="113"/>
        <v>946.73</v>
      </c>
      <c r="N208" s="3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>
      <c r="A209" s="93" t="s">
        <v>353</v>
      </c>
      <c r="B209" s="101" t="s">
        <v>180</v>
      </c>
      <c r="C209" s="85">
        <v>92353.0</v>
      </c>
      <c r="D209" s="102" t="s">
        <v>151</v>
      </c>
      <c r="E209" s="103" t="s">
        <v>15</v>
      </c>
      <c r="F209" s="57">
        <v>3.0</v>
      </c>
      <c r="G209" s="58">
        <v>119.61</v>
      </c>
      <c r="H209" s="58">
        <v>34.76</v>
      </c>
      <c r="I209" s="59">
        <f t="shared" si="109"/>
        <v>154.37</v>
      </c>
      <c r="J209" s="59">
        <f t="shared" si="110"/>
        <v>358.83</v>
      </c>
      <c r="K209" s="59">
        <f t="shared" si="111"/>
        <v>104.28</v>
      </c>
      <c r="L209" s="59">
        <f t="shared" si="112"/>
        <v>463.11</v>
      </c>
      <c r="M209" s="60">
        <f t="shared" si="113"/>
        <v>583.56</v>
      </c>
      <c r="N209" s="3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>
      <c r="A210" s="93" t="s">
        <v>354</v>
      </c>
      <c r="B210" s="101" t="s">
        <v>157</v>
      </c>
      <c r="C210" s="85">
        <v>92377.0</v>
      </c>
      <c r="D210" s="102" t="s">
        <v>128</v>
      </c>
      <c r="E210" s="103" t="s">
        <v>15</v>
      </c>
      <c r="F210" s="57">
        <v>1.0</v>
      </c>
      <c r="G210" s="58">
        <v>72.55</v>
      </c>
      <c r="H210" s="58">
        <v>24.31</v>
      </c>
      <c r="I210" s="59">
        <f t="shared" si="109"/>
        <v>96.86</v>
      </c>
      <c r="J210" s="59">
        <f t="shared" si="110"/>
        <v>72.55</v>
      </c>
      <c r="K210" s="59">
        <f t="shared" si="111"/>
        <v>24.31</v>
      </c>
      <c r="L210" s="59">
        <f t="shared" si="112"/>
        <v>96.86</v>
      </c>
      <c r="M210" s="60">
        <f t="shared" si="113"/>
        <v>122.05</v>
      </c>
      <c r="N210" s="3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ht="12.75" customHeight="1">
      <c r="A211" s="4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5"/>
      <c r="N211" s="133"/>
      <c r="O211" s="92"/>
      <c r="P211" s="92"/>
      <c r="Q211" s="92"/>
      <c r="R211" s="92"/>
      <c r="S211" s="92"/>
      <c r="T211" s="92"/>
      <c r="U211" s="92"/>
      <c r="V211" s="92"/>
      <c r="W211" s="92"/>
      <c r="X211" s="92"/>
      <c r="Y211" s="92"/>
    </row>
    <row r="212" ht="12.75" customHeight="1">
      <c r="A212" s="115" t="s">
        <v>355</v>
      </c>
      <c r="B212" s="116"/>
      <c r="C212" s="117"/>
      <c r="D212" s="78" t="s">
        <v>356</v>
      </c>
      <c r="E212" s="34"/>
      <c r="F212" s="34"/>
      <c r="G212" s="34"/>
      <c r="H212" s="34"/>
      <c r="I212" s="35"/>
      <c r="J212" s="79">
        <f t="shared" ref="J212:M212" si="114">SUM(J213:J219)</f>
        <v>7690.59</v>
      </c>
      <c r="K212" s="79">
        <f t="shared" si="114"/>
        <v>712.35</v>
      </c>
      <c r="L212" s="79">
        <f t="shared" si="114"/>
        <v>8402.94</v>
      </c>
      <c r="M212" s="79">
        <f t="shared" si="114"/>
        <v>10588.54</v>
      </c>
      <c r="N212" s="74">
        <f>M212</f>
        <v>10588.54</v>
      </c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>
      <c r="A213" s="93" t="s">
        <v>357</v>
      </c>
      <c r="B213" s="101" t="s">
        <v>178</v>
      </c>
      <c r="C213" s="85">
        <v>92367.0</v>
      </c>
      <c r="D213" s="102" t="s">
        <v>124</v>
      </c>
      <c r="E213" s="103" t="s">
        <v>51</v>
      </c>
      <c r="F213" s="57">
        <v>34.0</v>
      </c>
      <c r="G213" s="58">
        <v>122.28</v>
      </c>
      <c r="H213" s="58">
        <v>8.08</v>
      </c>
      <c r="I213" s="59">
        <f t="shared" ref="I213:I219" si="115">G213+H213</f>
        <v>130.36</v>
      </c>
      <c r="J213" s="59">
        <f t="shared" ref="J213:J219" si="116">G213*F213</f>
        <v>4157.52</v>
      </c>
      <c r="K213" s="59">
        <f t="shared" ref="K213:K219" si="117">H213*F213</f>
        <v>274.72</v>
      </c>
      <c r="L213" s="59">
        <f t="shared" ref="L213:L219" si="118">ROUND(J213+K213,2)</f>
        <v>4432.24</v>
      </c>
      <c r="M213" s="60">
        <f t="shared" ref="M213:M219" si="119">ROUND(L213*(1+$M$4),2)</f>
        <v>5585.07</v>
      </c>
      <c r="N213" s="3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>
      <c r="A214" s="93" t="s">
        <v>358</v>
      </c>
      <c r="B214" s="101" t="s">
        <v>200</v>
      </c>
      <c r="C214" s="85">
        <v>92357.0</v>
      </c>
      <c r="D214" s="102" t="s">
        <v>149</v>
      </c>
      <c r="E214" s="103" t="s">
        <v>15</v>
      </c>
      <c r="F214" s="57">
        <v>1.0</v>
      </c>
      <c r="G214" s="58">
        <v>165.36</v>
      </c>
      <c r="H214" s="58">
        <v>46.36</v>
      </c>
      <c r="I214" s="59">
        <f t="shared" si="115"/>
        <v>211.72</v>
      </c>
      <c r="J214" s="59">
        <f t="shared" si="116"/>
        <v>165.36</v>
      </c>
      <c r="K214" s="59">
        <f t="shared" si="117"/>
        <v>46.36</v>
      </c>
      <c r="L214" s="59">
        <f t="shared" si="118"/>
        <v>211.72</v>
      </c>
      <c r="M214" s="60">
        <f t="shared" si="119"/>
        <v>266.79</v>
      </c>
      <c r="N214" s="3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>
      <c r="A215" s="93" t="s">
        <v>359</v>
      </c>
      <c r="B215" s="101" t="s">
        <v>202</v>
      </c>
      <c r="C215" s="85" t="s">
        <v>203</v>
      </c>
      <c r="D215" s="102" t="s">
        <v>204</v>
      </c>
      <c r="E215" s="103" t="s">
        <v>15</v>
      </c>
      <c r="F215" s="57">
        <v>1.0</v>
      </c>
      <c r="G215" s="58">
        <f>1474.05-393.22</f>
        <v>1080.83</v>
      </c>
      <c r="H215" s="58">
        <v>100.35</v>
      </c>
      <c r="I215" s="59">
        <f t="shared" si="115"/>
        <v>1181.18</v>
      </c>
      <c r="J215" s="59">
        <f t="shared" si="116"/>
        <v>1080.83</v>
      </c>
      <c r="K215" s="59">
        <f t="shared" si="117"/>
        <v>100.35</v>
      </c>
      <c r="L215" s="59">
        <f t="shared" si="118"/>
        <v>1181.18</v>
      </c>
      <c r="M215" s="60">
        <f t="shared" si="119"/>
        <v>1488.4</v>
      </c>
      <c r="N215" s="3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>
      <c r="A216" s="93" t="s">
        <v>360</v>
      </c>
      <c r="B216" s="101" t="s">
        <v>206</v>
      </c>
      <c r="C216" s="85" t="s">
        <v>207</v>
      </c>
      <c r="D216" s="102" t="s">
        <v>208</v>
      </c>
      <c r="E216" s="103" t="s">
        <v>15</v>
      </c>
      <c r="F216" s="57">
        <v>2.0</v>
      </c>
      <c r="G216" s="58">
        <v>633.26</v>
      </c>
      <c r="H216" s="58">
        <v>0.0</v>
      </c>
      <c r="I216" s="59">
        <f t="shared" si="115"/>
        <v>633.26</v>
      </c>
      <c r="J216" s="59">
        <f t="shared" si="116"/>
        <v>1266.52</v>
      </c>
      <c r="K216" s="59">
        <f t="shared" si="117"/>
        <v>0</v>
      </c>
      <c r="L216" s="59">
        <f t="shared" si="118"/>
        <v>1266.52</v>
      </c>
      <c r="M216" s="60">
        <f t="shared" si="119"/>
        <v>1595.94</v>
      </c>
      <c r="N216" s="3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>
      <c r="A217" s="93" t="s">
        <v>361</v>
      </c>
      <c r="B217" s="101" t="s">
        <v>210</v>
      </c>
      <c r="C217" s="85">
        <v>92347.0</v>
      </c>
      <c r="D217" s="102" t="s">
        <v>155</v>
      </c>
      <c r="E217" s="103" t="s">
        <v>15</v>
      </c>
      <c r="F217" s="57">
        <v>7.0</v>
      </c>
      <c r="G217" s="58">
        <v>84.14</v>
      </c>
      <c r="H217" s="58">
        <v>23.19</v>
      </c>
      <c r="I217" s="59">
        <f t="shared" si="115"/>
        <v>107.33</v>
      </c>
      <c r="J217" s="59">
        <f t="shared" si="116"/>
        <v>588.98</v>
      </c>
      <c r="K217" s="59">
        <f t="shared" si="117"/>
        <v>162.33</v>
      </c>
      <c r="L217" s="59">
        <f t="shared" si="118"/>
        <v>751.31</v>
      </c>
      <c r="M217" s="60">
        <f t="shared" si="119"/>
        <v>946.73</v>
      </c>
      <c r="N217" s="3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>
      <c r="A218" s="93" t="s">
        <v>362</v>
      </c>
      <c r="B218" s="101" t="s">
        <v>180</v>
      </c>
      <c r="C218" s="85">
        <v>92353.0</v>
      </c>
      <c r="D218" s="102" t="s">
        <v>151</v>
      </c>
      <c r="E218" s="103" t="s">
        <v>15</v>
      </c>
      <c r="F218" s="57">
        <v>3.0</v>
      </c>
      <c r="G218" s="58">
        <v>119.61</v>
      </c>
      <c r="H218" s="58">
        <v>34.76</v>
      </c>
      <c r="I218" s="59">
        <f t="shared" si="115"/>
        <v>154.37</v>
      </c>
      <c r="J218" s="59">
        <f t="shared" si="116"/>
        <v>358.83</v>
      </c>
      <c r="K218" s="59">
        <f t="shared" si="117"/>
        <v>104.28</v>
      </c>
      <c r="L218" s="59">
        <f t="shared" si="118"/>
        <v>463.11</v>
      </c>
      <c r="M218" s="60">
        <f t="shared" si="119"/>
        <v>583.56</v>
      </c>
      <c r="N218" s="3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>
      <c r="A219" s="93" t="s">
        <v>363</v>
      </c>
      <c r="B219" s="101" t="s">
        <v>157</v>
      </c>
      <c r="C219" s="85">
        <v>92377.0</v>
      </c>
      <c r="D219" s="102" t="s">
        <v>128</v>
      </c>
      <c r="E219" s="103" t="s">
        <v>15</v>
      </c>
      <c r="F219" s="57">
        <v>1.0</v>
      </c>
      <c r="G219" s="58">
        <v>72.55</v>
      </c>
      <c r="H219" s="58">
        <v>24.31</v>
      </c>
      <c r="I219" s="59">
        <f t="shared" si="115"/>
        <v>96.86</v>
      </c>
      <c r="J219" s="59">
        <f t="shared" si="116"/>
        <v>72.55</v>
      </c>
      <c r="K219" s="59">
        <f t="shared" si="117"/>
        <v>24.31</v>
      </c>
      <c r="L219" s="59">
        <f t="shared" si="118"/>
        <v>96.86</v>
      </c>
      <c r="M219" s="60">
        <f t="shared" si="119"/>
        <v>122.05</v>
      </c>
      <c r="N219" s="3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ht="12.75" customHeight="1">
      <c r="A220" s="84"/>
      <c r="B220" s="130"/>
      <c r="C220" s="130"/>
      <c r="D220" s="130"/>
      <c r="E220" s="130"/>
      <c r="F220" s="130"/>
      <c r="G220" s="131"/>
      <c r="H220" s="131"/>
      <c r="I220" s="130"/>
      <c r="J220" s="130"/>
      <c r="K220" s="130"/>
      <c r="L220" s="130"/>
      <c r="M220" s="132"/>
      <c r="N220" s="133"/>
      <c r="O220" s="92"/>
      <c r="P220" s="92"/>
      <c r="Q220" s="92"/>
      <c r="R220" s="92"/>
      <c r="S220" s="92"/>
      <c r="T220" s="92"/>
      <c r="U220" s="92"/>
      <c r="V220" s="92"/>
      <c r="W220" s="92"/>
      <c r="X220" s="92"/>
      <c r="Y220" s="92"/>
    </row>
    <row r="221" ht="12.75" customHeight="1">
      <c r="A221" s="115" t="s">
        <v>364</v>
      </c>
      <c r="B221" s="116"/>
      <c r="C221" s="117"/>
      <c r="D221" s="78" t="s">
        <v>365</v>
      </c>
      <c r="E221" s="34"/>
      <c r="F221" s="34"/>
      <c r="G221" s="34"/>
      <c r="H221" s="34"/>
      <c r="I221" s="35"/>
      <c r="J221" s="79">
        <f t="shared" ref="J221:M221" si="120">SUM(J222:J228)</f>
        <v>5275.27</v>
      </c>
      <c r="K221" s="79">
        <f t="shared" si="120"/>
        <v>482.23</v>
      </c>
      <c r="L221" s="79">
        <f t="shared" si="120"/>
        <v>5757.5</v>
      </c>
      <c r="M221" s="79">
        <f t="shared" si="120"/>
        <v>7255.01</v>
      </c>
      <c r="N221" s="74">
        <f>M221</f>
        <v>7255.01</v>
      </c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>
      <c r="A222" s="93" t="s">
        <v>366</v>
      </c>
      <c r="B222" s="101" t="s">
        <v>178</v>
      </c>
      <c r="C222" s="85">
        <v>92367.0</v>
      </c>
      <c r="D222" s="102" t="s">
        <v>124</v>
      </c>
      <c r="E222" s="103" t="s">
        <v>51</v>
      </c>
      <c r="F222" s="57">
        <v>17.0</v>
      </c>
      <c r="G222" s="58">
        <v>122.28</v>
      </c>
      <c r="H222" s="58">
        <v>8.08</v>
      </c>
      <c r="I222" s="59">
        <f t="shared" ref="I222:I228" si="121">G222+H222</f>
        <v>130.36</v>
      </c>
      <c r="J222" s="59">
        <f t="shared" ref="J222:J228" si="122">G222*F222</f>
        <v>2078.76</v>
      </c>
      <c r="K222" s="59">
        <f t="shared" ref="K222:K228" si="123">H222*F222</f>
        <v>137.36</v>
      </c>
      <c r="L222" s="59">
        <f t="shared" ref="L222:L228" si="124">ROUND(J222+K222,2)</f>
        <v>2216.12</v>
      </c>
      <c r="M222" s="60">
        <f t="shared" ref="M222:M228" si="125">ROUND(L222*(1+$M$4),2)</f>
        <v>2792.53</v>
      </c>
      <c r="N222" s="3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>
      <c r="A223" s="93" t="s">
        <v>367</v>
      </c>
      <c r="B223" s="101" t="s">
        <v>200</v>
      </c>
      <c r="C223" s="85">
        <v>92357.0</v>
      </c>
      <c r="D223" s="102" t="s">
        <v>149</v>
      </c>
      <c r="E223" s="103" t="s">
        <v>15</v>
      </c>
      <c r="F223" s="57">
        <v>1.0</v>
      </c>
      <c r="G223" s="58">
        <v>165.36</v>
      </c>
      <c r="H223" s="58">
        <v>46.36</v>
      </c>
      <c r="I223" s="59">
        <f t="shared" si="121"/>
        <v>211.72</v>
      </c>
      <c r="J223" s="59">
        <f t="shared" si="122"/>
        <v>165.36</v>
      </c>
      <c r="K223" s="59">
        <f t="shared" si="123"/>
        <v>46.36</v>
      </c>
      <c r="L223" s="59">
        <f t="shared" si="124"/>
        <v>211.72</v>
      </c>
      <c r="M223" s="60">
        <f t="shared" si="125"/>
        <v>266.79</v>
      </c>
      <c r="N223" s="3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>
      <c r="A224" s="93" t="s">
        <v>368</v>
      </c>
      <c r="B224" s="101" t="s">
        <v>202</v>
      </c>
      <c r="C224" s="85" t="s">
        <v>203</v>
      </c>
      <c r="D224" s="102" t="s">
        <v>204</v>
      </c>
      <c r="E224" s="103" t="s">
        <v>15</v>
      </c>
      <c r="F224" s="57">
        <v>1.0</v>
      </c>
      <c r="G224" s="58">
        <f>1474.05-393.22</f>
        <v>1080.83</v>
      </c>
      <c r="H224" s="58">
        <v>100.35</v>
      </c>
      <c r="I224" s="59">
        <f t="shared" si="121"/>
        <v>1181.18</v>
      </c>
      <c r="J224" s="59">
        <f t="shared" si="122"/>
        <v>1080.83</v>
      </c>
      <c r="K224" s="59">
        <f t="shared" si="123"/>
        <v>100.35</v>
      </c>
      <c r="L224" s="59">
        <f t="shared" si="124"/>
        <v>1181.18</v>
      </c>
      <c r="M224" s="60">
        <f t="shared" si="125"/>
        <v>1488.4</v>
      </c>
      <c r="N224" s="3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>
      <c r="A225" s="93" t="s">
        <v>369</v>
      </c>
      <c r="B225" s="101" t="s">
        <v>206</v>
      </c>
      <c r="C225" s="85" t="s">
        <v>207</v>
      </c>
      <c r="D225" s="102" t="s">
        <v>208</v>
      </c>
      <c r="E225" s="103" t="s">
        <v>15</v>
      </c>
      <c r="F225" s="57">
        <v>2.0</v>
      </c>
      <c r="G225" s="58">
        <v>633.26</v>
      </c>
      <c r="H225" s="58">
        <v>0.0</v>
      </c>
      <c r="I225" s="59">
        <f t="shared" si="121"/>
        <v>633.26</v>
      </c>
      <c r="J225" s="59">
        <f t="shared" si="122"/>
        <v>1266.52</v>
      </c>
      <c r="K225" s="59">
        <f t="shared" si="123"/>
        <v>0</v>
      </c>
      <c r="L225" s="59">
        <f t="shared" si="124"/>
        <v>1266.52</v>
      </c>
      <c r="M225" s="60">
        <f t="shared" si="125"/>
        <v>1595.94</v>
      </c>
      <c r="N225" s="3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>
      <c r="A226" s="93" t="s">
        <v>370</v>
      </c>
      <c r="B226" s="101" t="s">
        <v>210</v>
      </c>
      <c r="C226" s="85">
        <v>92347.0</v>
      </c>
      <c r="D226" s="102" t="s">
        <v>155</v>
      </c>
      <c r="E226" s="103" t="s">
        <v>15</v>
      </c>
      <c r="F226" s="57">
        <v>3.0</v>
      </c>
      <c r="G226" s="58">
        <v>84.14</v>
      </c>
      <c r="H226" s="58">
        <v>23.19</v>
      </c>
      <c r="I226" s="59">
        <f t="shared" si="121"/>
        <v>107.33</v>
      </c>
      <c r="J226" s="59">
        <f t="shared" si="122"/>
        <v>252.42</v>
      </c>
      <c r="K226" s="59">
        <f t="shared" si="123"/>
        <v>69.57</v>
      </c>
      <c r="L226" s="59">
        <f t="shared" si="124"/>
        <v>321.99</v>
      </c>
      <c r="M226" s="60">
        <f t="shared" si="125"/>
        <v>405.74</v>
      </c>
      <c r="N226" s="3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>
      <c r="A227" s="93" t="s">
        <v>371</v>
      </c>
      <c r="B227" s="101" t="s">
        <v>180</v>
      </c>
      <c r="C227" s="85">
        <v>92353.0</v>
      </c>
      <c r="D227" s="102" t="s">
        <v>151</v>
      </c>
      <c r="E227" s="103" t="s">
        <v>15</v>
      </c>
      <c r="F227" s="57">
        <v>3.0</v>
      </c>
      <c r="G227" s="58">
        <v>119.61</v>
      </c>
      <c r="H227" s="58">
        <v>34.76</v>
      </c>
      <c r="I227" s="59">
        <f t="shared" si="121"/>
        <v>154.37</v>
      </c>
      <c r="J227" s="59">
        <f t="shared" si="122"/>
        <v>358.83</v>
      </c>
      <c r="K227" s="59">
        <f t="shared" si="123"/>
        <v>104.28</v>
      </c>
      <c r="L227" s="59">
        <f t="shared" si="124"/>
        <v>463.11</v>
      </c>
      <c r="M227" s="60">
        <f t="shared" si="125"/>
        <v>583.56</v>
      </c>
      <c r="N227" s="3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>
      <c r="A228" s="93" t="s">
        <v>372</v>
      </c>
      <c r="B228" s="101" t="s">
        <v>157</v>
      </c>
      <c r="C228" s="85">
        <v>92377.0</v>
      </c>
      <c r="D228" s="102" t="s">
        <v>128</v>
      </c>
      <c r="E228" s="103" t="s">
        <v>15</v>
      </c>
      <c r="F228" s="57">
        <v>1.0</v>
      </c>
      <c r="G228" s="58">
        <v>72.55</v>
      </c>
      <c r="H228" s="58">
        <v>24.31</v>
      </c>
      <c r="I228" s="59">
        <f t="shared" si="121"/>
        <v>96.86</v>
      </c>
      <c r="J228" s="59">
        <f t="shared" si="122"/>
        <v>72.55</v>
      </c>
      <c r="K228" s="59">
        <f t="shared" si="123"/>
        <v>24.31</v>
      </c>
      <c r="L228" s="59">
        <f t="shared" si="124"/>
        <v>96.86</v>
      </c>
      <c r="M228" s="60">
        <f t="shared" si="125"/>
        <v>122.05</v>
      </c>
      <c r="N228" s="3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ht="12.75" customHeight="1">
      <c r="A229" s="44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5"/>
      <c r="N229" s="133"/>
      <c r="O229" s="92"/>
      <c r="P229" s="92"/>
      <c r="Q229" s="92"/>
      <c r="R229" s="92"/>
      <c r="S229" s="92"/>
      <c r="T229" s="92"/>
      <c r="U229" s="92"/>
      <c r="V229" s="92"/>
      <c r="W229" s="92"/>
      <c r="X229" s="92"/>
      <c r="Y229" s="92"/>
    </row>
    <row r="230" ht="12.75" customHeight="1">
      <c r="A230" s="115" t="s">
        <v>373</v>
      </c>
      <c r="B230" s="116"/>
      <c r="C230" s="117"/>
      <c r="D230" s="78" t="s">
        <v>374</v>
      </c>
      <c r="E230" s="34"/>
      <c r="F230" s="34"/>
      <c r="G230" s="34"/>
      <c r="H230" s="34"/>
      <c r="I230" s="35"/>
      <c r="J230" s="79">
        <f t="shared" ref="J230:M230" si="126">SUM(J231:J237)</f>
        <v>7231.75</v>
      </c>
      <c r="K230" s="79">
        <f t="shared" si="126"/>
        <v>611.51</v>
      </c>
      <c r="L230" s="79">
        <f t="shared" si="126"/>
        <v>7843.26</v>
      </c>
      <c r="M230" s="79">
        <f t="shared" si="126"/>
        <v>9883.28</v>
      </c>
      <c r="N230" s="74">
        <f>M230</f>
        <v>9883.28</v>
      </c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>
      <c r="A231" s="93" t="s">
        <v>375</v>
      </c>
      <c r="B231" s="101" t="s">
        <v>178</v>
      </c>
      <c r="C231" s="85">
        <v>92367.0</v>
      </c>
      <c r="D231" s="102" t="s">
        <v>124</v>
      </c>
      <c r="E231" s="103" t="s">
        <v>51</v>
      </c>
      <c r="F231" s="57">
        <v>33.0</v>
      </c>
      <c r="G231" s="58">
        <v>122.28</v>
      </c>
      <c r="H231" s="58">
        <v>8.08</v>
      </c>
      <c r="I231" s="59">
        <f t="shared" ref="I231:I237" si="127">G231+H231</f>
        <v>130.36</v>
      </c>
      <c r="J231" s="59">
        <f t="shared" ref="J231:J237" si="128">G231*F231</f>
        <v>4035.24</v>
      </c>
      <c r="K231" s="59">
        <f t="shared" ref="K231:K237" si="129">H231*F231</f>
        <v>266.64</v>
      </c>
      <c r="L231" s="59">
        <f t="shared" ref="L231:L237" si="130">ROUND(J231+K231,2)</f>
        <v>4301.88</v>
      </c>
      <c r="M231" s="60">
        <f t="shared" ref="M231:M237" si="131">ROUND(L231*(1+$M$4),2)</f>
        <v>5420.8</v>
      </c>
      <c r="N231" s="3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>
      <c r="A232" s="93" t="s">
        <v>376</v>
      </c>
      <c r="B232" s="101" t="s">
        <v>200</v>
      </c>
      <c r="C232" s="85">
        <v>92357.0</v>
      </c>
      <c r="D232" s="102" t="s">
        <v>149</v>
      </c>
      <c r="E232" s="103" t="s">
        <v>15</v>
      </c>
      <c r="F232" s="57">
        <v>1.0</v>
      </c>
      <c r="G232" s="58">
        <v>165.36</v>
      </c>
      <c r="H232" s="58">
        <v>46.36</v>
      </c>
      <c r="I232" s="59">
        <f t="shared" si="127"/>
        <v>211.72</v>
      </c>
      <c r="J232" s="59">
        <f t="shared" si="128"/>
        <v>165.36</v>
      </c>
      <c r="K232" s="59">
        <f t="shared" si="129"/>
        <v>46.36</v>
      </c>
      <c r="L232" s="59">
        <f t="shared" si="130"/>
        <v>211.72</v>
      </c>
      <c r="M232" s="60">
        <f t="shared" si="131"/>
        <v>266.79</v>
      </c>
      <c r="N232" s="3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>
      <c r="A233" s="93" t="s">
        <v>377</v>
      </c>
      <c r="B233" s="101" t="s">
        <v>202</v>
      </c>
      <c r="C233" s="85" t="s">
        <v>203</v>
      </c>
      <c r="D233" s="102" t="s">
        <v>204</v>
      </c>
      <c r="E233" s="103" t="s">
        <v>15</v>
      </c>
      <c r="F233" s="57">
        <v>1.0</v>
      </c>
      <c r="G233" s="58">
        <f>1474.05-393.22</f>
        <v>1080.83</v>
      </c>
      <c r="H233" s="58">
        <v>100.35</v>
      </c>
      <c r="I233" s="59">
        <f t="shared" si="127"/>
        <v>1181.18</v>
      </c>
      <c r="J233" s="59">
        <f t="shared" si="128"/>
        <v>1080.83</v>
      </c>
      <c r="K233" s="59">
        <f t="shared" si="129"/>
        <v>100.35</v>
      </c>
      <c r="L233" s="59">
        <f t="shared" si="130"/>
        <v>1181.18</v>
      </c>
      <c r="M233" s="60">
        <f t="shared" si="131"/>
        <v>1488.4</v>
      </c>
      <c r="N233" s="3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>
      <c r="A234" s="93" t="s">
        <v>378</v>
      </c>
      <c r="B234" s="101" t="s">
        <v>206</v>
      </c>
      <c r="C234" s="85" t="s">
        <v>207</v>
      </c>
      <c r="D234" s="102" t="s">
        <v>208</v>
      </c>
      <c r="E234" s="103" t="s">
        <v>15</v>
      </c>
      <c r="F234" s="57">
        <v>2.0</v>
      </c>
      <c r="G234" s="58">
        <v>633.26</v>
      </c>
      <c r="H234" s="58">
        <v>0.0</v>
      </c>
      <c r="I234" s="59">
        <f t="shared" si="127"/>
        <v>633.26</v>
      </c>
      <c r="J234" s="59">
        <f t="shared" si="128"/>
        <v>1266.52</v>
      </c>
      <c r="K234" s="59">
        <f t="shared" si="129"/>
        <v>0</v>
      </c>
      <c r="L234" s="59">
        <f t="shared" si="130"/>
        <v>1266.52</v>
      </c>
      <c r="M234" s="60">
        <f t="shared" si="131"/>
        <v>1595.94</v>
      </c>
      <c r="N234" s="3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>
      <c r="A235" s="93" t="s">
        <v>379</v>
      </c>
      <c r="B235" s="101" t="s">
        <v>210</v>
      </c>
      <c r="C235" s="85">
        <v>92347.0</v>
      </c>
      <c r="D235" s="102" t="s">
        <v>155</v>
      </c>
      <c r="E235" s="103" t="s">
        <v>15</v>
      </c>
      <c r="F235" s="57">
        <v>3.0</v>
      </c>
      <c r="G235" s="58">
        <v>84.14</v>
      </c>
      <c r="H235" s="58">
        <v>23.19</v>
      </c>
      <c r="I235" s="59">
        <f t="shared" si="127"/>
        <v>107.33</v>
      </c>
      <c r="J235" s="59">
        <f t="shared" si="128"/>
        <v>252.42</v>
      </c>
      <c r="K235" s="59">
        <f t="shared" si="129"/>
        <v>69.57</v>
      </c>
      <c r="L235" s="59">
        <f t="shared" si="130"/>
        <v>321.99</v>
      </c>
      <c r="M235" s="60">
        <f t="shared" si="131"/>
        <v>405.74</v>
      </c>
      <c r="N235" s="3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>
      <c r="A236" s="93" t="s">
        <v>380</v>
      </c>
      <c r="B236" s="101" t="s">
        <v>180</v>
      </c>
      <c r="C236" s="85">
        <v>92353.0</v>
      </c>
      <c r="D236" s="102" t="s">
        <v>151</v>
      </c>
      <c r="E236" s="103" t="s">
        <v>15</v>
      </c>
      <c r="F236" s="57">
        <v>3.0</v>
      </c>
      <c r="G236" s="58">
        <v>119.61</v>
      </c>
      <c r="H236" s="58">
        <v>34.76</v>
      </c>
      <c r="I236" s="59">
        <f t="shared" si="127"/>
        <v>154.37</v>
      </c>
      <c r="J236" s="59">
        <f t="shared" si="128"/>
        <v>358.83</v>
      </c>
      <c r="K236" s="59">
        <f t="shared" si="129"/>
        <v>104.28</v>
      </c>
      <c r="L236" s="59">
        <f t="shared" si="130"/>
        <v>463.11</v>
      </c>
      <c r="M236" s="60">
        <f t="shared" si="131"/>
        <v>583.56</v>
      </c>
      <c r="N236" s="3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>
      <c r="A237" s="93" t="s">
        <v>381</v>
      </c>
      <c r="B237" s="101" t="s">
        <v>157</v>
      </c>
      <c r="C237" s="85">
        <v>92377.0</v>
      </c>
      <c r="D237" s="102" t="s">
        <v>128</v>
      </c>
      <c r="E237" s="103" t="s">
        <v>15</v>
      </c>
      <c r="F237" s="57">
        <v>1.0</v>
      </c>
      <c r="G237" s="58">
        <v>72.55</v>
      </c>
      <c r="H237" s="58">
        <v>24.31</v>
      </c>
      <c r="I237" s="59">
        <f t="shared" si="127"/>
        <v>96.86</v>
      </c>
      <c r="J237" s="59">
        <f t="shared" si="128"/>
        <v>72.55</v>
      </c>
      <c r="K237" s="59">
        <f t="shared" si="129"/>
        <v>24.31</v>
      </c>
      <c r="L237" s="59">
        <f t="shared" si="130"/>
        <v>96.86</v>
      </c>
      <c r="M237" s="60">
        <f t="shared" si="131"/>
        <v>122.05</v>
      </c>
      <c r="N237" s="3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ht="12.75" customHeight="1">
      <c r="A238" s="44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5"/>
      <c r="N238" s="133"/>
      <c r="O238" s="92"/>
      <c r="P238" s="92"/>
      <c r="Q238" s="92"/>
      <c r="R238" s="92"/>
      <c r="S238" s="92"/>
      <c r="T238" s="92"/>
      <c r="U238" s="92"/>
      <c r="V238" s="92"/>
      <c r="W238" s="92"/>
      <c r="X238" s="92"/>
      <c r="Y238" s="92"/>
    </row>
    <row r="239" ht="12.75" customHeight="1">
      <c r="A239" s="115" t="s">
        <v>382</v>
      </c>
      <c r="B239" s="116"/>
      <c r="C239" s="117"/>
      <c r="D239" s="78" t="s">
        <v>383</v>
      </c>
      <c r="E239" s="34"/>
      <c r="F239" s="34"/>
      <c r="G239" s="34"/>
      <c r="H239" s="34"/>
      <c r="I239" s="35"/>
      <c r="J239" s="79">
        <f t="shared" ref="J239:M239" si="132">SUM(J240:J247)</f>
        <v>11266.9</v>
      </c>
      <c r="K239" s="79">
        <f t="shared" si="132"/>
        <v>1093.84</v>
      </c>
      <c r="L239" s="79">
        <f t="shared" si="132"/>
        <v>12360.74</v>
      </c>
      <c r="M239" s="79">
        <f t="shared" si="132"/>
        <v>15575.76</v>
      </c>
      <c r="N239" s="74">
        <f>M239</f>
        <v>15575.76</v>
      </c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>
      <c r="A240" s="93" t="s">
        <v>384</v>
      </c>
      <c r="B240" s="101" t="s">
        <v>178</v>
      </c>
      <c r="C240" s="85">
        <v>92367.0</v>
      </c>
      <c r="D240" s="102" t="s">
        <v>124</v>
      </c>
      <c r="E240" s="103" t="s">
        <v>51</v>
      </c>
      <c r="F240" s="57">
        <v>50.0</v>
      </c>
      <c r="G240" s="58">
        <v>122.28</v>
      </c>
      <c r="H240" s="58">
        <v>8.08</v>
      </c>
      <c r="I240" s="59">
        <f t="shared" ref="I240:I247" si="133">G240+H240</f>
        <v>130.36</v>
      </c>
      <c r="J240" s="59">
        <f t="shared" ref="J240:J247" si="134">G240*F240</f>
        <v>6114</v>
      </c>
      <c r="K240" s="59">
        <f t="shared" ref="K240:K247" si="135">H240*F240</f>
        <v>404</v>
      </c>
      <c r="L240" s="59">
        <f t="shared" ref="L240:L247" si="136">ROUND(J240+K240,2)</f>
        <v>6518</v>
      </c>
      <c r="M240" s="60">
        <f t="shared" ref="M240:M247" si="137">ROUND(L240*(1+$M$4),2)</f>
        <v>8213.33</v>
      </c>
      <c r="N240" s="3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>
      <c r="A241" s="93" t="s">
        <v>385</v>
      </c>
      <c r="B241" s="101" t="s">
        <v>200</v>
      </c>
      <c r="C241" s="85">
        <v>92357.0</v>
      </c>
      <c r="D241" s="102" t="s">
        <v>149</v>
      </c>
      <c r="E241" s="103" t="s">
        <v>15</v>
      </c>
      <c r="F241" s="57">
        <v>2.0</v>
      </c>
      <c r="G241" s="58">
        <v>165.36</v>
      </c>
      <c r="H241" s="58">
        <v>46.36</v>
      </c>
      <c r="I241" s="59">
        <f t="shared" si="133"/>
        <v>211.72</v>
      </c>
      <c r="J241" s="59">
        <f t="shared" si="134"/>
        <v>330.72</v>
      </c>
      <c r="K241" s="59">
        <f t="shared" si="135"/>
        <v>92.72</v>
      </c>
      <c r="L241" s="59">
        <f t="shared" si="136"/>
        <v>423.44</v>
      </c>
      <c r="M241" s="60">
        <f t="shared" si="137"/>
        <v>533.58</v>
      </c>
      <c r="N241" s="3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>
      <c r="A242" s="93" t="s">
        <v>386</v>
      </c>
      <c r="B242" s="101" t="s">
        <v>202</v>
      </c>
      <c r="C242" s="85" t="s">
        <v>203</v>
      </c>
      <c r="D242" s="102" t="s">
        <v>387</v>
      </c>
      <c r="E242" s="103" t="s">
        <v>15</v>
      </c>
      <c r="F242" s="57">
        <v>1.0</v>
      </c>
      <c r="G242" s="58">
        <f>1474.05-393.22</f>
        <v>1080.83</v>
      </c>
      <c r="H242" s="58">
        <v>100.35</v>
      </c>
      <c r="I242" s="59">
        <f t="shared" si="133"/>
        <v>1181.18</v>
      </c>
      <c r="J242" s="59">
        <f t="shared" si="134"/>
        <v>1080.83</v>
      </c>
      <c r="K242" s="59">
        <f t="shared" si="135"/>
        <v>100.35</v>
      </c>
      <c r="L242" s="59">
        <f t="shared" si="136"/>
        <v>1181.18</v>
      </c>
      <c r="M242" s="60">
        <f t="shared" si="137"/>
        <v>1488.4</v>
      </c>
      <c r="N242" s="3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>
      <c r="A243" s="93" t="s">
        <v>388</v>
      </c>
      <c r="B243" s="101" t="s">
        <v>206</v>
      </c>
      <c r="C243" s="85" t="s">
        <v>207</v>
      </c>
      <c r="D243" s="102" t="s">
        <v>208</v>
      </c>
      <c r="E243" s="103" t="s">
        <v>15</v>
      </c>
      <c r="F243" s="57">
        <v>2.0</v>
      </c>
      <c r="G243" s="58">
        <v>633.26</v>
      </c>
      <c r="H243" s="58">
        <v>0.0</v>
      </c>
      <c r="I243" s="59">
        <f t="shared" si="133"/>
        <v>633.26</v>
      </c>
      <c r="J243" s="59">
        <f t="shared" si="134"/>
        <v>1266.52</v>
      </c>
      <c r="K243" s="59">
        <f t="shared" si="135"/>
        <v>0</v>
      </c>
      <c r="L243" s="59">
        <f t="shared" si="136"/>
        <v>1266.52</v>
      </c>
      <c r="M243" s="60">
        <f t="shared" si="137"/>
        <v>1595.94</v>
      </c>
      <c r="N243" s="3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>
      <c r="A244" s="93" t="s">
        <v>389</v>
      </c>
      <c r="B244" s="101" t="s">
        <v>256</v>
      </c>
      <c r="C244" s="85" t="s">
        <v>203</v>
      </c>
      <c r="D244" s="102" t="s">
        <v>387</v>
      </c>
      <c r="E244" s="103" t="s">
        <v>15</v>
      </c>
      <c r="F244" s="57">
        <v>1.0</v>
      </c>
      <c r="G244" s="58">
        <f>1474.05-393.22</f>
        <v>1080.83</v>
      </c>
      <c r="H244" s="58">
        <v>100.35</v>
      </c>
      <c r="I244" s="59">
        <f t="shared" si="133"/>
        <v>1181.18</v>
      </c>
      <c r="J244" s="59">
        <f t="shared" si="134"/>
        <v>1080.83</v>
      </c>
      <c r="K244" s="59">
        <f t="shared" si="135"/>
        <v>100.35</v>
      </c>
      <c r="L244" s="59">
        <f t="shared" si="136"/>
        <v>1181.18</v>
      </c>
      <c r="M244" s="60">
        <f t="shared" si="137"/>
        <v>1488.4</v>
      </c>
      <c r="N244" s="3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>
      <c r="A245" s="93" t="s">
        <v>390</v>
      </c>
      <c r="B245" s="101" t="s">
        <v>210</v>
      </c>
      <c r="C245" s="85">
        <v>92347.0</v>
      </c>
      <c r="D245" s="102" t="s">
        <v>155</v>
      </c>
      <c r="E245" s="103" t="s">
        <v>15</v>
      </c>
      <c r="F245" s="57">
        <v>12.0</v>
      </c>
      <c r="G245" s="58">
        <v>84.14</v>
      </c>
      <c r="H245" s="58">
        <v>23.19</v>
      </c>
      <c r="I245" s="59">
        <f t="shared" si="133"/>
        <v>107.33</v>
      </c>
      <c r="J245" s="59">
        <f t="shared" si="134"/>
        <v>1009.68</v>
      </c>
      <c r="K245" s="59">
        <f t="shared" si="135"/>
        <v>278.28</v>
      </c>
      <c r="L245" s="59">
        <f t="shared" si="136"/>
        <v>1287.96</v>
      </c>
      <c r="M245" s="60">
        <f t="shared" si="137"/>
        <v>1622.96</v>
      </c>
      <c r="N245" s="3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>
      <c r="A246" s="93" t="s">
        <v>391</v>
      </c>
      <c r="B246" s="101" t="s">
        <v>180</v>
      </c>
      <c r="C246" s="85">
        <v>92353.0</v>
      </c>
      <c r="D246" s="102" t="s">
        <v>151</v>
      </c>
      <c r="E246" s="103" t="s">
        <v>15</v>
      </c>
      <c r="F246" s="57">
        <v>2.0</v>
      </c>
      <c r="G246" s="58">
        <v>119.61</v>
      </c>
      <c r="H246" s="58">
        <v>34.76</v>
      </c>
      <c r="I246" s="59">
        <f t="shared" si="133"/>
        <v>154.37</v>
      </c>
      <c r="J246" s="59">
        <f t="shared" si="134"/>
        <v>239.22</v>
      </c>
      <c r="K246" s="59">
        <f t="shared" si="135"/>
        <v>69.52</v>
      </c>
      <c r="L246" s="59">
        <f t="shared" si="136"/>
        <v>308.74</v>
      </c>
      <c r="M246" s="60">
        <f t="shared" si="137"/>
        <v>389.04</v>
      </c>
      <c r="N246" s="3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>
      <c r="A247" s="93" t="s">
        <v>392</v>
      </c>
      <c r="B247" s="101" t="s">
        <v>157</v>
      </c>
      <c r="C247" s="85">
        <v>92377.0</v>
      </c>
      <c r="D247" s="102" t="s">
        <v>128</v>
      </c>
      <c r="E247" s="103" t="s">
        <v>15</v>
      </c>
      <c r="F247" s="57">
        <v>2.0</v>
      </c>
      <c r="G247" s="58">
        <v>72.55</v>
      </c>
      <c r="H247" s="58">
        <v>24.31</v>
      </c>
      <c r="I247" s="59">
        <f t="shared" si="133"/>
        <v>96.86</v>
      </c>
      <c r="J247" s="59">
        <f t="shared" si="134"/>
        <v>145.1</v>
      </c>
      <c r="K247" s="59">
        <f t="shared" si="135"/>
        <v>48.62</v>
      </c>
      <c r="L247" s="59">
        <f t="shared" si="136"/>
        <v>193.72</v>
      </c>
      <c r="M247" s="60">
        <f t="shared" si="137"/>
        <v>244.11</v>
      </c>
      <c r="N247" s="3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ht="12.75" customHeight="1">
      <c r="A248" s="44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5"/>
      <c r="N248" s="133"/>
      <c r="O248" s="92"/>
      <c r="P248" s="92"/>
      <c r="Q248" s="92"/>
      <c r="R248" s="92"/>
      <c r="S248" s="92"/>
      <c r="T248" s="92"/>
      <c r="U248" s="92"/>
      <c r="V248" s="92"/>
      <c r="W248" s="92"/>
      <c r="X248" s="92"/>
      <c r="Y248" s="92"/>
    </row>
    <row r="249" ht="12.75" customHeight="1">
      <c r="A249" s="115" t="s">
        <v>393</v>
      </c>
      <c r="B249" s="116"/>
      <c r="C249" s="117"/>
      <c r="D249" s="78" t="s">
        <v>394</v>
      </c>
      <c r="E249" s="34"/>
      <c r="F249" s="34"/>
      <c r="G249" s="34"/>
      <c r="H249" s="34"/>
      <c r="I249" s="35"/>
      <c r="J249" s="79">
        <f t="shared" ref="J249:M249" si="138">SUM(J250:J255)</f>
        <v>6908.64</v>
      </c>
      <c r="K249" s="79">
        <f t="shared" si="138"/>
        <v>545.5</v>
      </c>
      <c r="L249" s="79">
        <f t="shared" si="138"/>
        <v>7454.14</v>
      </c>
      <c r="M249" s="79">
        <f t="shared" si="138"/>
        <v>9392.95</v>
      </c>
      <c r="N249" s="74">
        <f>M249</f>
        <v>9392.95</v>
      </c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>
      <c r="A250" s="93" t="s">
        <v>395</v>
      </c>
      <c r="B250" s="101" t="s">
        <v>178</v>
      </c>
      <c r="C250" s="85">
        <v>92367.0</v>
      </c>
      <c r="D250" s="102" t="s">
        <v>124</v>
      </c>
      <c r="E250" s="103" t="s">
        <v>51</v>
      </c>
      <c r="F250" s="57">
        <v>32.0</v>
      </c>
      <c r="G250" s="58">
        <v>122.28</v>
      </c>
      <c r="H250" s="58">
        <v>8.08</v>
      </c>
      <c r="I250" s="59">
        <f t="shared" ref="I250:I255" si="139">G250+H250</f>
        <v>130.36</v>
      </c>
      <c r="J250" s="59">
        <f t="shared" ref="J250:J255" si="140">G250*F250</f>
        <v>3912.96</v>
      </c>
      <c r="K250" s="59">
        <f t="shared" ref="K250:K255" si="141">H250*F250</f>
        <v>258.56</v>
      </c>
      <c r="L250" s="59">
        <f t="shared" ref="L250:L255" si="142">ROUND(J250+K250,2)</f>
        <v>4171.52</v>
      </c>
      <c r="M250" s="60">
        <f t="shared" ref="M250:M255" si="143">ROUND(L250*(1+$M$4),2)</f>
        <v>5256.53</v>
      </c>
      <c r="N250" s="3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>
      <c r="A251" s="93" t="s">
        <v>396</v>
      </c>
      <c r="B251" s="101" t="s">
        <v>202</v>
      </c>
      <c r="C251" s="85" t="s">
        <v>203</v>
      </c>
      <c r="D251" s="102" t="s">
        <v>387</v>
      </c>
      <c r="E251" s="103" t="s">
        <v>15</v>
      </c>
      <c r="F251" s="57">
        <v>1.0</v>
      </c>
      <c r="G251" s="58">
        <f>1474.05-393.22</f>
        <v>1080.83</v>
      </c>
      <c r="H251" s="58">
        <v>100.35</v>
      </c>
      <c r="I251" s="59">
        <f t="shared" si="139"/>
        <v>1181.18</v>
      </c>
      <c r="J251" s="59">
        <f t="shared" si="140"/>
        <v>1080.83</v>
      </c>
      <c r="K251" s="59">
        <f t="shared" si="141"/>
        <v>100.35</v>
      </c>
      <c r="L251" s="59">
        <f t="shared" si="142"/>
        <v>1181.18</v>
      </c>
      <c r="M251" s="60">
        <f t="shared" si="143"/>
        <v>1488.4</v>
      </c>
      <c r="N251" s="3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>
      <c r="A252" s="93" t="s">
        <v>397</v>
      </c>
      <c r="B252" s="101" t="s">
        <v>206</v>
      </c>
      <c r="C252" s="85" t="s">
        <v>207</v>
      </c>
      <c r="D252" s="102" t="s">
        <v>208</v>
      </c>
      <c r="E252" s="103" t="s">
        <v>15</v>
      </c>
      <c r="F252" s="57">
        <v>2.0</v>
      </c>
      <c r="G252" s="58">
        <v>633.26</v>
      </c>
      <c r="H252" s="58">
        <v>0.0</v>
      </c>
      <c r="I252" s="59">
        <f t="shared" si="139"/>
        <v>633.26</v>
      </c>
      <c r="J252" s="59">
        <f t="shared" si="140"/>
        <v>1266.52</v>
      </c>
      <c r="K252" s="59">
        <f t="shared" si="141"/>
        <v>0</v>
      </c>
      <c r="L252" s="59">
        <f t="shared" si="142"/>
        <v>1266.52</v>
      </c>
      <c r="M252" s="60">
        <f t="shared" si="143"/>
        <v>1595.94</v>
      </c>
      <c r="N252" s="3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>
      <c r="A253" s="93" t="s">
        <v>398</v>
      </c>
      <c r="B253" s="101" t="s">
        <v>210</v>
      </c>
      <c r="C253" s="85">
        <v>92347.0</v>
      </c>
      <c r="D253" s="102" t="s">
        <v>155</v>
      </c>
      <c r="E253" s="103" t="s">
        <v>15</v>
      </c>
      <c r="F253" s="57">
        <v>4.0</v>
      </c>
      <c r="G253" s="58">
        <v>84.14</v>
      </c>
      <c r="H253" s="58">
        <v>23.19</v>
      </c>
      <c r="I253" s="59">
        <f t="shared" si="139"/>
        <v>107.33</v>
      </c>
      <c r="J253" s="59">
        <f t="shared" si="140"/>
        <v>336.56</v>
      </c>
      <c r="K253" s="59">
        <f t="shared" si="141"/>
        <v>92.76</v>
      </c>
      <c r="L253" s="59">
        <f t="shared" si="142"/>
        <v>429.32</v>
      </c>
      <c r="M253" s="60">
        <f t="shared" si="143"/>
        <v>540.99</v>
      </c>
      <c r="N253" s="3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>
      <c r="A254" s="93" t="s">
        <v>399</v>
      </c>
      <c r="B254" s="101" t="s">
        <v>180</v>
      </c>
      <c r="C254" s="85">
        <v>92353.0</v>
      </c>
      <c r="D254" s="102" t="s">
        <v>151</v>
      </c>
      <c r="E254" s="103" t="s">
        <v>15</v>
      </c>
      <c r="F254" s="57">
        <v>2.0</v>
      </c>
      <c r="G254" s="58">
        <v>119.61</v>
      </c>
      <c r="H254" s="58">
        <v>34.76</v>
      </c>
      <c r="I254" s="59">
        <f t="shared" si="139"/>
        <v>154.37</v>
      </c>
      <c r="J254" s="59">
        <f t="shared" si="140"/>
        <v>239.22</v>
      </c>
      <c r="K254" s="59">
        <f t="shared" si="141"/>
        <v>69.52</v>
      </c>
      <c r="L254" s="59">
        <f t="shared" si="142"/>
        <v>308.74</v>
      </c>
      <c r="M254" s="60">
        <f t="shared" si="143"/>
        <v>389.04</v>
      </c>
      <c r="N254" s="3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>
      <c r="A255" s="93" t="s">
        <v>400</v>
      </c>
      <c r="B255" s="101" t="s">
        <v>157</v>
      </c>
      <c r="C255" s="85">
        <v>92377.0</v>
      </c>
      <c r="D255" s="102" t="s">
        <v>128</v>
      </c>
      <c r="E255" s="103" t="s">
        <v>15</v>
      </c>
      <c r="F255" s="57">
        <v>1.0</v>
      </c>
      <c r="G255" s="58">
        <v>72.55</v>
      </c>
      <c r="H255" s="58">
        <v>24.31</v>
      </c>
      <c r="I255" s="59">
        <f t="shared" si="139"/>
        <v>96.86</v>
      </c>
      <c r="J255" s="59">
        <f t="shared" si="140"/>
        <v>72.55</v>
      </c>
      <c r="K255" s="59">
        <f t="shared" si="141"/>
        <v>24.31</v>
      </c>
      <c r="L255" s="59">
        <f t="shared" si="142"/>
        <v>96.86</v>
      </c>
      <c r="M255" s="60">
        <f t="shared" si="143"/>
        <v>122.05</v>
      </c>
      <c r="N255" s="3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ht="12.75" customHeight="1">
      <c r="A256" s="44"/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5"/>
      <c r="N256" s="133"/>
      <c r="O256" s="92"/>
      <c r="P256" s="92"/>
      <c r="Q256" s="92"/>
      <c r="R256" s="92"/>
      <c r="S256" s="92"/>
      <c r="T256" s="92"/>
      <c r="U256" s="92"/>
      <c r="V256" s="92"/>
      <c r="W256" s="92"/>
      <c r="X256" s="92"/>
      <c r="Y256" s="92"/>
    </row>
    <row r="257" ht="12.75" customHeight="1">
      <c r="A257" s="115" t="s">
        <v>401</v>
      </c>
      <c r="B257" s="116"/>
      <c r="C257" s="117"/>
      <c r="D257" s="78" t="s">
        <v>402</v>
      </c>
      <c r="E257" s="34"/>
      <c r="F257" s="34"/>
      <c r="G257" s="34"/>
      <c r="H257" s="34"/>
      <c r="I257" s="35"/>
      <c r="J257" s="79">
        <f t="shared" ref="J257:M257" si="144">SUM(J258:J265)</f>
        <v>8287.8093</v>
      </c>
      <c r="K257" s="79">
        <f t="shared" si="144"/>
        <v>2551.3258</v>
      </c>
      <c r="L257" s="79">
        <f t="shared" si="144"/>
        <v>10839.14</v>
      </c>
      <c r="M257" s="79">
        <f t="shared" si="144"/>
        <v>13658.41</v>
      </c>
      <c r="N257" s="74">
        <f>M257</f>
        <v>13658.41</v>
      </c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>
      <c r="A258" s="93" t="s">
        <v>403</v>
      </c>
      <c r="B258" s="101" t="s">
        <v>277</v>
      </c>
      <c r="C258" s="85" t="s">
        <v>278</v>
      </c>
      <c r="D258" s="102" t="s">
        <v>279</v>
      </c>
      <c r="E258" s="103" t="s">
        <v>15</v>
      </c>
      <c r="F258" s="57">
        <v>9.0</v>
      </c>
      <c r="G258" s="58">
        <f>130.7-H258</f>
        <v>117.54</v>
      </c>
      <c r="H258" s="58">
        <v>13.16</v>
      </c>
      <c r="I258" s="59">
        <f t="shared" ref="I258:I265" si="145">G258+H258</f>
        <v>130.7</v>
      </c>
      <c r="J258" s="59">
        <f t="shared" ref="J258:J265" si="146">G258*F258</f>
        <v>1057.86</v>
      </c>
      <c r="K258" s="59">
        <f t="shared" ref="K258:K265" si="147">H258*F258</f>
        <v>118.44</v>
      </c>
      <c r="L258" s="59">
        <f t="shared" ref="L258:L265" si="148">ROUND(J258+K258,2)</f>
        <v>1176.3</v>
      </c>
      <c r="M258" s="60">
        <f t="shared" ref="M258:M265" si="149">ROUND(L258*(1+$M$4),2)</f>
        <v>1482.26</v>
      </c>
      <c r="N258" s="3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>
      <c r="A259" s="93" t="s">
        <v>404</v>
      </c>
      <c r="B259" s="101" t="s">
        <v>285</v>
      </c>
      <c r="C259" s="85">
        <v>91863.0</v>
      </c>
      <c r="D259" s="102" t="s">
        <v>286</v>
      </c>
      <c r="E259" s="103" t="s">
        <v>51</v>
      </c>
      <c r="F259" s="57">
        <v>300.0</v>
      </c>
      <c r="G259" s="58">
        <v>8.25</v>
      </c>
      <c r="H259" s="58">
        <v>4.2</v>
      </c>
      <c r="I259" s="59">
        <f t="shared" si="145"/>
        <v>12.45</v>
      </c>
      <c r="J259" s="59">
        <f t="shared" si="146"/>
        <v>2475</v>
      </c>
      <c r="K259" s="59">
        <f t="shared" si="147"/>
        <v>1260</v>
      </c>
      <c r="L259" s="59">
        <f t="shared" si="148"/>
        <v>3735</v>
      </c>
      <c r="M259" s="60">
        <f t="shared" si="149"/>
        <v>4706.47</v>
      </c>
      <c r="N259" s="3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>
      <c r="A260" s="93" t="s">
        <v>405</v>
      </c>
      <c r="B260" s="101" t="s">
        <v>291</v>
      </c>
      <c r="C260" s="85">
        <v>91926.0</v>
      </c>
      <c r="D260" s="102" t="s">
        <v>121</v>
      </c>
      <c r="E260" s="103" t="s">
        <v>51</v>
      </c>
      <c r="F260" s="57">
        <v>600.0</v>
      </c>
      <c r="G260" s="58">
        <v>3.04</v>
      </c>
      <c r="H260" s="58">
        <v>1.0</v>
      </c>
      <c r="I260" s="59">
        <f t="shared" si="145"/>
        <v>4.04</v>
      </c>
      <c r="J260" s="59">
        <f t="shared" si="146"/>
        <v>1824</v>
      </c>
      <c r="K260" s="59">
        <f t="shared" si="147"/>
        <v>600</v>
      </c>
      <c r="L260" s="59">
        <f t="shared" si="148"/>
        <v>2424</v>
      </c>
      <c r="M260" s="60">
        <f t="shared" si="149"/>
        <v>3054.48</v>
      </c>
      <c r="N260" s="3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>
      <c r="A261" s="93" t="s">
        <v>406</v>
      </c>
      <c r="B261" s="101" t="s">
        <v>288</v>
      </c>
      <c r="C261" s="85">
        <v>95777.0</v>
      </c>
      <c r="D261" s="102" t="s">
        <v>289</v>
      </c>
      <c r="E261" s="103" t="s">
        <v>15</v>
      </c>
      <c r="F261" s="57">
        <v>12.0</v>
      </c>
      <c r="G261" s="58">
        <v>17.72</v>
      </c>
      <c r="H261" s="58">
        <v>11.53</v>
      </c>
      <c r="I261" s="59">
        <f t="shared" si="145"/>
        <v>29.25</v>
      </c>
      <c r="J261" s="59">
        <f t="shared" si="146"/>
        <v>212.64</v>
      </c>
      <c r="K261" s="59">
        <f t="shared" si="147"/>
        <v>138.36</v>
      </c>
      <c r="L261" s="59">
        <f t="shared" si="148"/>
        <v>351</v>
      </c>
      <c r="M261" s="60">
        <f t="shared" si="149"/>
        <v>442.3</v>
      </c>
      <c r="N261" s="3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>
      <c r="A262" s="93" t="s">
        <v>407</v>
      </c>
      <c r="B262" s="101" t="s">
        <v>293</v>
      </c>
      <c r="C262" s="85">
        <v>97882.0</v>
      </c>
      <c r="D262" s="102" t="s">
        <v>294</v>
      </c>
      <c r="E262" s="103" t="s">
        <v>15</v>
      </c>
      <c r="F262" s="57">
        <v>10.0</v>
      </c>
      <c r="G262" s="58">
        <v>115.45</v>
      </c>
      <c r="H262" s="58">
        <v>25.99</v>
      </c>
      <c r="I262" s="59">
        <f t="shared" si="145"/>
        <v>141.44</v>
      </c>
      <c r="J262" s="59">
        <f t="shared" si="146"/>
        <v>1154.5</v>
      </c>
      <c r="K262" s="59">
        <f t="shared" si="147"/>
        <v>259.9</v>
      </c>
      <c r="L262" s="59">
        <f t="shared" si="148"/>
        <v>1414.4</v>
      </c>
      <c r="M262" s="60">
        <f t="shared" si="149"/>
        <v>1782.29</v>
      </c>
      <c r="N262" s="3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>
      <c r="A263" s="93" t="s">
        <v>408</v>
      </c>
      <c r="B263" s="101" t="s">
        <v>141</v>
      </c>
      <c r="C263" s="85">
        <v>101273.0</v>
      </c>
      <c r="D263" s="102" t="s">
        <v>264</v>
      </c>
      <c r="E263" s="103" t="s">
        <v>43</v>
      </c>
      <c r="F263" s="57">
        <v>50.0</v>
      </c>
      <c r="G263" s="58">
        <v>15.14</v>
      </c>
      <c r="H263" s="58">
        <v>1.28</v>
      </c>
      <c r="I263" s="59">
        <f t="shared" si="145"/>
        <v>16.42</v>
      </c>
      <c r="J263" s="59">
        <f t="shared" si="146"/>
        <v>757</v>
      </c>
      <c r="K263" s="59">
        <f t="shared" si="147"/>
        <v>64</v>
      </c>
      <c r="L263" s="59">
        <f t="shared" si="148"/>
        <v>821</v>
      </c>
      <c r="M263" s="60">
        <f t="shared" si="149"/>
        <v>1034.54</v>
      </c>
      <c r="N263" s="3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>
      <c r="A264" s="93" t="s">
        <v>409</v>
      </c>
      <c r="B264" s="101" t="s">
        <v>144</v>
      </c>
      <c r="C264" s="85">
        <v>93364.0</v>
      </c>
      <c r="D264" s="102" t="s">
        <v>267</v>
      </c>
      <c r="E264" s="103" t="s">
        <v>43</v>
      </c>
      <c r="F264" s="57">
        <v>50.0</v>
      </c>
      <c r="G264" s="58">
        <v>9.6</v>
      </c>
      <c r="H264" s="58">
        <v>2.1</v>
      </c>
      <c r="I264" s="59">
        <f t="shared" si="145"/>
        <v>11.7</v>
      </c>
      <c r="J264" s="59">
        <f t="shared" si="146"/>
        <v>480</v>
      </c>
      <c r="K264" s="59">
        <f t="shared" si="147"/>
        <v>105</v>
      </c>
      <c r="L264" s="59">
        <f t="shared" si="148"/>
        <v>585</v>
      </c>
      <c r="M264" s="60">
        <f t="shared" si="149"/>
        <v>737.16</v>
      </c>
      <c r="N264" s="3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>
      <c r="A265" s="93" t="s">
        <v>410</v>
      </c>
      <c r="B265" s="101" t="s">
        <v>296</v>
      </c>
      <c r="C265" s="85" t="s">
        <v>297</v>
      </c>
      <c r="D265" s="102" t="s">
        <v>298</v>
      </c>
      <c r="E265" s="103" t="s">
        <v>43</v>
      </c>
      <c r="F265" s="57">
        <v>0.23</v>
      </c>
      <c r="G265" s="58">
        <v>1420.91</v>
      </c>
      <c r="H265" s="58">
        <v>24.46</v>
      </c>
      <c r="I265" s="59">
        <f t="shared" si="145"/>
        <v>1445.37</v>
      </c>
      <c r="J265" s="59">
        <f t="shared" si="146"/>
        <v>326.8093</v>
      </c>
      <c r="K265" s="59">
        <f t="shared" si="147"/>
        <v>5.6258</v>
      </c>
      <c r="L265" s="59">
        <f t="shared" si="148"/>
        <v>332.44</v>
      </c>
      <c r="M265" s="60">
        <f t="shared" si="149"/>
        <v>418.91</v>
      </c>
      <c r="N265" s="3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>
      <c r="A266" s="93"/>
      <c r="B266" s="101"/>
      <c r="C266" s="85"/>
      <c r="D266" s="102"/>
      <c r="E266" s="103"/>
      <c r="F266" s="57"/>
      <c r="G266" s="58"/>
      <c r="H266" s="58"/>
      <c r="I266" s="59"/>
      <c r="J266" s="59"/>
      <c r="K266" s="59"/>
      <c r="L266" s="59"/>
      <c r="M266" s="60"/>
      <c r="N266" s="3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>
      <c r="A267" s="115" t="s">
        <v>411</v>
      </c>
      <c r="B267" s="116"/>
      <c r="C267" s="117"/>
      <c r="D267" s="78" t="s">
        <v>412</v>
      </c>
      <c r="E267" s="34"/>
      <c r="F267" s="34"/>
      <c r="G267" s="34"/>
      <c r="H267" s="34"/>
      <c r="I267" s="35"/>
      <c r="J267" s="79">
        <f t="shared" ref="J267:M267" si="150">SUM(J268:J269)</f>
        <v>2398.8</v>
      </c>
      <c r="K267" s="79">
        <f t="shared" si="150"/>
        <v>332.76</v>
      </c>
      <c r="L267" s="79">
        <f t="shared" si="150"/>
        <v>2731.56</v>
      </c>
      <c r="M267" s="79">
        <f t="shared" si="150"/>
        <v>3442.04</v>
      </c>
      <c r="N267" s="74">
        <f>M267</f>
        <v>3442.04</v>
      </c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>
      <c r="A268" s="93" t="s">
        <v>413</v>
      </c>
      <c r="B268" s="101" t="s">
        <v>414</v>
      </c>
      <c r="C268" s="85">
        <v>100743.0</v>
      </c>
      <c r="D268" s="102" t="s">
        <v>415</v>
      </c>
      <c r="E268" s="103" t="s">
        <v>416</v>
      </c>
      <c r="F268" s="57">
        <v>42.0</v>
      </c>
      <c r="G268" s="58">
        <v>8.2</v>
      </c>
      <c r="H268" s="58">
        <v>1.18</v>
      </c>
      <c r="I268" s="59">
        <f t="shared" ref="I268:I269" si="151">G268+H268</f>
        <v>9.38</v>
      </c>
      <c r="J268" s="59">
        <f t="shared" ref="J268:J269" si="152">G268*F268</f>
        <v>344.4</v>
      </c>
      <c r="K268" s="59">
        <f t="shared" ref="K268:K269" si="153">H268*F268</f>
        <v>49.56</v>
      </c>
      <c r="L268" s="59">
        <f t="shared" ref="L268:L269" si="154">ROUND(J268+K268,2)</f>
        <v>393.96</v>
      </c>
      <c r="M268" s="60">
        <f t="shared" ref="M268:M269" si="155">ROUND(L268*(1+$M$4),2)</f>
        <v>496.43</v>
      </c>
      <c r="N268" s="3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>
      <c r="A269" s="93" t="s">
        <v>417</v>
      </c>
      <c r="B269" s="101" t="s">
        <v>418</v>
      </c>
      <c r="C269" s="85">
        <v>100719.0</v>
      </c>
      <c r="D269" s="102" t="s">
        <v>419</v>
      </c>
      <c r="E269" s="103" t="s">
        <v>416</v>
      </c>
      <c r="F269" s="57">
        <v>240.0</v>
      </c>
      <c r="G269" s="58">
        <v>8.56</v>
      </c>
      <c r="H269" s="58">
        <v>1.18</v>
      </c>
      <c r="I269" s="59">
        <f t="shared" si="151"/>
        <v>9.74</v>
      </c>
      <c r="J269" s="59">
        <f t="shared" si="152"/>
        <v>2054.4</v>
      </c>
      <c r="K269" s="59">
        <f t="shared" si="153"/>
        <v>283.2</v>
      </c>
      <c r="L269" s="59">
        <f t="shared" si="154"/>
        <v>2337.6</v>
      </c>
      <c r="M269" s="60">
        <f t="shared" si="155"/>
        <v>2945.61</v>
      </c>
      <c r="N269" s="3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 ht="12.75" customHeight="1">
      <c r="A270" s="44"/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5"/>
      <c r="N270" s="3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ht="12.75" customHeight="1">
      <c r="A271" s="112" t="s">
        <v>420</v>
      </c>
      <c r="B271" s="134"/>
      <c r="C271" s="135"/>
      <c r="D271" s="73" t="s">
        <v>421</v>
      </c>
      <c r="E271" s="136"/>
      <c r="F271" s="136"/>
      <c r="G271" s="137"/>
      <c r="H271" s="137"/>
      <c r="I271" s="138"/>
      <c r="J271" s="139">
        <f t="shared" ref="J271:M271" si="156">SUM(J273:J308)</f>
        <v>128055.5</v>
      </c>
      <c r="K271" s="139">
        <f t="shared" si="156"/>
        <v>11596.22</v>
      </c>
      <c r="L271" s="139">
        <f t="shared" si="156"/>
        <v>139651.72</v>
      </c>
      <c r="M271" s="139">
        <f t="shared" si="156"/>
        <v>175975.16</v>
      </c>
      <c r="N271" s="74">
        <f>M271</f>
        <v>175975.16</v>
      </c>
      <c r="O271" s="62"/>
      <c r="P271" s="140"/>
      <c r="Q271" s="4"/>
      <c r="R271" s="4"/>
      <c r="S271" s="4"/>
      <c r="T271" s="4"/>
      <c r="U271" s="4"/>
      <c r="V271" s="4"/>
      <c r="W271" s="4"/>
      <c r="X271" s="4"/>
      <c r="Y271" s="4"/>
    </row>
    <row r="272">
      <c r="A272" s="141"/>
      <c r="B272" s="116"/>
      <c r="C272" s="142"/>
      <c r="D272" s="143" t="s">
        <v>422</v>
      </c>
      <c r="E272" s="144"/>
      <c r="F272" s="145"/>
      <c r="G272" s="146"/>
      <c r="H272" s="146"/>
      <c r="I272" s="147"/>
      <c r="J272" s="147"/>
      <c r="K272" s="147"/>
      <c r="L272" s="147"/>
      <c r="M272" s="79"/>
      <c r="N272" s="148"/>
      <c r="O272" s="149"/>
      <c r="P272" s="150"/>
      <c r="Q272" s="151"/>
      <c r="R272" s="151"/>
      <c r="S272" s="151"/>
      <c r="T272" s="151"/>
      <c r="U272" s="151"/>
      <c r="V272" s="151"/>
      <c r="W272" s="151"/>
      <c r="X272" s="151"/>
      <c r="Y272" s="151"/>
    </row>
    <row r="273">
      <c r="A273" s="53" t="s">
        <v>423</v>
      </c>
      <c r="B273" s="54" t="s">
        <v>424</v>
      </c>
      <c r="C273" s="104" t="s">
        <v>425</v>
      </c>
      <c r="D273" s="56" t="s">
        <v>426</v>
      </c>
      <c r="E273" s="125" t="s">
        <v>15</v>
      </c>
      <c r="F273" s="88">
        <v>98.0</v>
      </c>
      <c r="G273" s="58">
        <v>173.03</v>
      </c>
      <c r="H273" s="58">
        <v>15.1</v>
      </c>
      <c r="I273" s="59">
        <f t="shared" ref="I273:I276" si="157">G273+H273</f>
        <v>188.13</v>
      </c>
      <c r="J273" s="59">
        <f t="shared" ref="J273:J276" si="158">G273*F273</f>
        <v>16956.94</v>
      </c>
      <c r="K273" s="59">
        <f t="shared" ref="K273:K276" si="159">H273*F273</f>
        <v>1479.8</v>
      </c>
      <c r="L273" s="59">
        <f t="shared" ref="L273:L276" si="160">ROUND(J273+K273,2)</f>
        <v>18436.74</v>
      </c>
      <c r="M273" s="60">
        <f t="shared" ref="M273:M276" si="161">ROUND(L273*(1+$M$4),2)</f>
        <v>23232.14</v>
      </c>
      <c r="N273" s="148"/>
      <c r="O273" s="149"/>
      <c r="P273" s="150"/>
      <c r="Q273" s="151"/>
      <c r="R273" s="151"/>
      <c r="S273" s="151"/>
      <c r="T273" s="151"/>
      <c r="U273" s="151"/>
      <c r="V273" s="151"/>
      <c r="W273" s="151"/>
      <c r="X273" s="151"/>
      <c r="Y273" s="151"/>
    </row>
    <row r="274">
      <c r="A274" s="53" t="s">
        <v>427</v>
      </c>
      <c r="B274" s="152" t="s">
        <v>428</v>
      </c>
      <c r="C274" s="153" t="s">
        <v>429</v>
      </c>
      <c r="D274" s="154" t="s">
        <v>430</v>
      </c>
      <c r="E274" s="125" t="s">
        <v>15</v>
      </c>
      <c r="F274" s="88">
        <v>45.0</v>
      </c>
      <c r="G274" s="58">
        <v>167.54</v>
      </c>
      <c r="H274" s="58">
        <v>15.1</v>
      </c>
      <c r="I274" s="59">
        <f t="shared" si="157"/>
        <v>182.64</v>
      </c>
      <c r="J274" s="59">
        <f t="shared" si="158"/>
        <v>7539.3</v>
      </c>
      <c r="K274" s="59">
        <f t="shared" si="159"/>
        <v>679.5</v>
      </c>
      <c r="L274" s="59">
        <f t="shared" si="160"/>
        <v>8218.8</v>
      </c>
      <c r="M274" s="60">
        <f t="shared" si="161"/>
        <v>10356.51</v>
      </c>
      <c r="N274" s="148"/>
      <c r="O274" s="149"/>
      <c r="P274" s="150"/>
      <c r="Q274" s="151"/>
      <c r="R274" s="151"/>
      <c r="S274" s="151"/>
      <c r="T274" s="151"/>
      <c r="U274" s="151"/>
      <c r="V274" s="151"/>
      <c r="W274" s="151"/>
      <c r="X274" s="151"/>
      <c r="Y274" s="151"/>
    </row>
    <row r="275">
      <c r="A275" s="53" t="s">
        <v>431</v>
      </c>
      <c r="B275" s="155" t="s">
        <v>432</v>
      </c>
      <c r="C275" s="156" t="s">
        <v>433</v>
      </c>
      <c r="D275" s="157" t="s">
        <v>434</v>
      </c>
      <c r="E275" s="158" t="s">
        <v>15</v>
      </c>
      <c r="F275" s="88">
        <v>2.0</v>
      </c>
      <c r="G275" s="58">
        <v>2021.77</v>
      </c>
      <c r="H275" s="58">
        <v>0.0</v>
      </c>
      <c r="I275" s="59">
        <f t="shared" si="157"/>
        <v>2021.77</v>
      </c>
      <c r="J275" s="59">
        <f t="shared" si="158"/>
        <v>4043.54</v>
      </c>
      <c r="K275" s="59">
        <f t="shared" si="159"/>
        <v>0</v>
      </c>
      <c r="L275" s="59">
        <f t="shared" si="160"/>
        <v>4043.54</v>
      </c>
      <c r="M275" s="60">
        <f t="shared" si="161"/>
        <v>5095.26</v>
      </c>
      <c r="N275" s="148"/>
      <c r="O275" s="149"/>
      <c r="P275" s="150"/>
      <c r="Q275" s="151"/>
      <c r="R275" s="151"/>
      <c r="S275" s="151"/>
      <c r="T275" s="151"/>
      <c r="U275" s="151"/>
      <c r="V275" s="151"/>
      <c r="W275" s="151"/>
      <c r="X275" s="151"/>
      <c r="Y275" s="151"/>
    </row>
    <row r="276">
      <c r="A276" s="53" t="s">
        <v>435</v>
      </c>
      <c r="B276" s="155" t="s">
        <v>436</v>
      </c>
      <c r="C276" s="156" t="s">
        <v>437</v>
      </c>
      <c r="D276" s="157" t="s">
        <v>438</v>
      </c>
      <c r="E276" s="158" t="s">
        <v>15</v>
      </c>
      <c r="F276" s="88">
        <v>1.0</v>
      </c>
      <c r="G276" s="58">
        <v>442.55</v>
      </c>
      <c r="H276" s="58">
        <v>0.0</v>
      </c>
      <c r="I276" s="59">
        <f t="shared" si="157"/>
        <v>442.55</v>
      </c>
      <c r="J276" s="59">
        <f t="shared" si="158"/>
        <v>442.55</v>
      </c>
      <c r="K276" s="59">
        <f t="shared" si="159"/>
        <v>0</v>
      </c>
      <c r="L276" s="59">
        <f t="shared" si="160"/>
        <v>442.55</v>
      </c>
      <c r="M276" s="60">
        <f t="shared" si="161"/>
        <v>557.66</v>
      </c>
      <c r="N276" s="148"/>
      <c r="O276" s="149"/>
      <c r="P276" s="150"/>
      <c r="Q276" s="151"/>
      <c r="R276" s="151"/>
      <c r="S276" s="151"/>
      <c r="T276" s="151"/>
      <c r="U276" s="151"/>
      <c r="V276" s="151"/>
      <c r="W276" s="151"/>
      <c r="X276" s="151"/>
      <c r="Y276" s="151"/>
    </row>
    <row r="277">
      <c r="A277" s="141"/>
      <c r="B277" s="159"/>
      <c r="C277" s="160"/>
      <c r="D277" s="161" t="s">
        <v>439</v>
      </c>
      <c r="E277" s="144"/>
      <c r="F277" s="145"/>
      <c r="G277" s="146"/>
      <c r="H277" s="146"/>
      <c r="I277" s="147"/>
      <c r="J277" s="147"/>
      <c r="K277" s="147"/>
      <c r="L277" s="147"/>
      <c r="M277" s="79"/>
      <c r="N277" s="148"/>
      <c r="O277" s="149"/>
      <c r="P277" s="150"/>
      <c r="Q277" s="151"/>
      <c r="R277" s="151"/>
      <c r="S277" s="151"/>
      <c r="T277" s="151"/>
      <c r="U277" s="151"/>
      <c r="V277" s="151"/>
      <c r="W277" s="151"/>
      <c r="X277" s="151"/>
      <c r="Y277" s="151"/>
    </row>
    <row r="278">
      <c r="A278" s="53" t="s">
        <v>440</v>
      </c>
      <c r="B278" s="152" t="s">
        <v>441</v>
      </c>
      <c r="C278" s="153" t="s">
        <v>442</v>
      </c>
      <c r="D278" s="154" t="s">
        <v>443</v>
      </c>
      <c r="E278" s="125" t="s">
        <v>15</v>
      </c>
      <c r="F278" s="88">
        <v>129.0</v>
      </c>
      <c r="G278" s="58">
        <v>15.6</v>
      </c>
      <c r="H278" s="58">
        <v>0.0</v>
      </c>
      <c r="I278" s="59">
        <f t="shared" ref="I278:I290" si="162">G278+H278</f>
        <v>15.6</v>
      </c>
      <c r="J278" s="59">
        <f t="shared" ref="J278:J290" si="163">G278*F278</f>
        <v>2012.4</v>
      </c>
      <c r="K278" s="59">
        <f t="shared" ref="K278:K290" si="164">H278*F278</f>
        <v>0</v>
      </c>
      <c r="L278" s="59">
        <f t="shared" ref="L278:L290" si="165">ROUND(J278+K278,2)</f>
        <v>2012.4</v>
      </c>
      <c r="M278" s="60">
        <f t="shared" ref="M278:M290" si="166">ROUND(L278*(1+$M$4),2)</f>
        <v>2535.83</v>
      </c>
      <c r="N278" s="148"/>
      <c r="O278" s="149"/>
      <c r="P278" s="150"/>
      <c r="Q278" s="151"/>
      <c r="R278" s="151"/>
      <c r="S278" s="151"/>
      <c r="T278" s="151"/>
      <c r="U278" s="151"/>
      <c r="V278" s="151"/>
      <c r="W278" s="151"/>
      <c r="X278" s="151"/>
      <c r="Y278" s="151"/>
    </row>
    <row r="279">
      <c r="A279" s="53" t="s">
        <v>444</v>
      </c>
      <c r="B279" s="152" t="s">
        <v>445</v>
      </c>
      <c r="C279" s="153" t="s">
        <v>442</v>
      </c>
      <c r="D279" s="154" t="s">
        <v>443</v>
      </c>
      <c r="E279" s="125" t="s">
        <v>15</v>
      </c>
      <c r="F279" s="88">
        <v>89.0</v>
      </c>
      <c r="G279" s="58">
        <v>15.6</v>
      </c>
      <c r="H279" s="58">
        <v>0.0</v>
      </c>
      <c r="I279" s="59">
        <f t="shared" si="162"/>
        <v>15.6</v>
      </c>
      <c r="J279" s="59">
        <f t="shared" si="163"/>
        <v>1388.4</v>
      </c>
      <c r="K279" s="59">
        <f t="shared" si="164"/>
        <v>0</v>
      </c>
      <c r="L279" s="59">
        <f t="shared" si="165"/>
        <v>1388.4</v>
      </c>
      <c r="M279" s="60">
        <f t="shared" si="166"/>
        <v>1749.52</v>
      </c>
      <c r="N279" s="148"/>
      <c r="O279" s="149"/>
      <c r="P279" s="150"/>
      <c r="Q279" s="151"/>
      <c r="R279" s="151"/>
      <c r="S279" s="151"/>
      <c r="T279" s="151"/>
      <c r="U279" s="151"/>
      <c r="V279" s="151"/>
      <c r="W279" s="151"/>
      <c r="X279" s="151"/>
      <c r="Y279" s="151"/>
    </row>
    <row r="280">
      <c r="A280" s="53" t="s">
        <v>446</v>
      </c>
      <c r="B280" s="152" t="s">
        <v>447</v>
      </c>
      <c r="C280" s="153" t="s">
        <v>442</v>
      </c>
      <c r="D280" s="154" t="s">
        <v>443</v>
      </c>
      <c r="E280" s="125" t="s">
        <v>15</v>
      </c>
      <c r="F280" s="88">
        <v>106.0</v>
      </c>
      <c r="G280" s="58">
        <v>15.6</v>
      </c>
      <c r="H280" s="58">
        <v>0.0</v>
      </c>
      <c r="I280" s="59">
        <f t="shared" si="162"/>
        <v>15.6</v>
      </c>
      <c r="J280" s="59">
        <f t="shared" si="163"/>
        <v>1653.6</v>
      </c>
      <c r="K280" s="59">
        <f t="shared" si="164"/>
        <v>0</v>
      </c>
      <c r="L280" s="59">
        <f t="shared" si="165"/>
        <v>1653.6</v>
      </c>
      <c r="M280" s="60">
        <f t="shared" si="166"/>
        <v>2083.7</v>
      </c>
      <c r="N280" s="148"/>
      <c r="O280" s="149"/>
      <c r="P280" s="150"/>
      <c r="Q280" s="151"/>
      <c r="R280" s="151"/>
      <c r="S280" s="151"/>
      <c r="T280" s="151"/>
      <c r="U280" s="151"/>
      <c r="V280" s="151"/>
      <c r="W280" s="151"/>
      <c r="X280" s="151"/>
      <c r="Y280" s="151"/>
    </row>
    <row r="281">
      <c r="A281" s="53" t="s">
        <v>448</v>
      </c>
      <c r="B281" s="152" t="s">
        <v>449</v>
      </c>
      <c r="C281" s="153" t="s">
        <v>442</v>
      </c>
      <c r="D281" s="154" t="s">
        <v>443</v>
      </c>
      <c r="E281" s="125" t="s">
        <v>15</v>
      </c>
      <c r="F281" s="88">
        <v>4.0</v>
      </c>
      <c r="G281" s="58">
        <v>15.6</v>
      </c>
      <c r="H281" s="58">
        <v>0.0</v>
      </c>
      <c r="I281" s="59">
        <f t="shared" si="162"/>
        <v>15.6</v>
      </c>
      <c r="J281" s="59">
        <f t="shared" si="163"/>
        <v>62.4</v>
      </c>
      <c r="K281" s="59">
        <f t="shared" si="164"/>
        <v>0</v>
      </c>
      <c r="L281" s="59">
        <f t="shared" si="165"/>
        <v>62.4</v>
      </c>
      <c r="M281" s="60">
        <f t="shared" si="166"/>
        <v>78.63</v>
      </c>
      <c r="N281" s="148"/>
      <c r="O281" s="149"/>
      <c r="P281" s="150"/>
      <c r="Q281" s="151"/>
      <c r="R281" s="151"/>
      <c r="S281" s="151"/>
      <c r="T281" s="151"/>
      <c r="U281" s="151"/>
      <c r="V281" s="151"/>
      <c r="W281" s="151"/>
      <c r="X281" s="151"/>
      <c r="Y281" s="151"/>
    </row>
    <row r="282">
      <c r="A282" s="53" t="s">
        <v>450</v>
      </c>
      <c r="B282" s="152" t="s">
        <v>451</v>
      </c>
      <c r="C282" s="153" t="s">
        <v>452</v>
      </c>
      <c r="D282" s="154" t="s">
        <v>453</v>
      </c>
      <c r="E282" s="125" t="s">
        <v>15</v>
      </c>
      <c r="F282" s="88">
        <v>72.0</v>
      </c>
      <c r="G282" s="58">
        <v>11.0</v>
      </c>
      <c r="H282" s="58">
        <v>0.0</v>
      </c>
      <c r="I282" s="59">
        <f t="shared" si="162"/>
        <v>11</v>
      </c>
      <c r="J282" s="59">
        <f t="shared" si="163"/>
        <v>792</v>
      </c>
      <c r="K282" s="59">
        <f t="shared" si="164"/>
        <v>0</v>
      </c>
      <c r="L282" s="59">
        <f t="shared" si="165"/>
        <v>792</v>
      </c>
      <c r="M282" s="60">
        <f t="shared" si="166"/>
        <v>998</v>
      </c>
      <c r="N282" s="148"/>
      <c r="O282" s="149"/>
      <c r="P282" s="150"/>
      <c r="Q282" s="151"/>
      <c r="R282" s="151"/>
      <c r="S282" s="151"/>
      <c r="T282" s="151"/>
      <c r="U282" s="151"/>
      <c r="V282" s="151"/>
      <c r="W282" s="151"/>
      <c r="X282" s="151"/>
      <c r="Y282" s="151"/>
    </row>
    <row r="283">
      <c r="A283" s="53" t="s">
        <v>454</v>
      </c>
      <c r="B283" s="162" t="s">
        <v>455</v>
      </c>
      <c r="C283" s="153" t="s">
        <v>456</v>
      </c>
      <c r="D283" s="154" t="s">
        <v>457</v>
      </c>
      <c r="E283" s="125" t="s">
        <v>15</v>
      </c>
      <c r="F283" s="88">
        <v>21.0</v>
      </c>
      <c r="G283" s="58">
        <v>12.72</v>
      </c>
      <c r="H283" s="58">
        <v>0.0</v>
      </c>
      <c r="I283" s="59">
        <f t="shared" si="162"/>
        <v>12.72</v>
      </c>
      <c r="J283" s="59">
        <f t="shared" si="163"/>
        <v>267.12</v>
      </c>
      <c r="K283" s="59">
        <f t="shared" si="164"/>
        <v>0</v>
      </c>
      <c r="L283" s="59">
        <f t="shared" si="165"/>
        <v>267.12</v>
      </c>
      <c r="M283" s="60">
        <f t="shared" si="166"/>
        <v>336.6</v>
      </c>
      <c r="N283" s="148"/>
      <c r="O283" s="149"/>
      <c r="P283" s="150"/>
      <c r="Q283" s="151"/>
      <c r="R283" s="151"/>
      <c r="S283" s="151"/>
      <c r="T283" s="151"/>
      <c r="U283" s="151"/>
      <c r="V283" s="151"/>
      <c r="W283" s="151"/>
      <c r="X283" s="151"/>
      <c r="Y283" s="151"/>
    </row>
    <row r="284">
      <c r="A284" s="53" t="s">
        <v>458</v>
      </c>
      <c r="B284" s="152" t="s">
        <v>459</v>
      </c>
      <c r="C284" s="153" t="s">
        <v>456</v>
      </c>
      <c r="D284" s="154" t="s">
        <v>457</v>
      </c>
      <c r="E284" s="125" t="s">
        <v>15</v>
      </c>
      <c r="F284" s="88">
        <v>21.0</v>
      </c>
      <c r="G284" s="58">
        <v>12.72</v>
      </c>
      <c r="H284" s="58">
        <v>0.0</v>
      </c>
      <c r="I284" s="59">
        <f t="shared" si="162"/>
        <v>12.72</v>
      </c>
      <c r="J284" s="59">
        <f t="shared" si="163"/>
        <v>267.12</v>
      </c>
      <c r="K284" s="59">
        <f t="shared" si="164"/>
        <v>0</v>
      </c>
      <c r="L284" s="59">
        <f t="shared" si="165"/>
        <v>267.12</v>
      </c>
      <c r="M284" s="60">
        <f t="shared" si="166"/>
        <v>336.6</v>
      </c>
      <c r="N284" s="148"/>
      <c r="O284" s="149"/>
      <c r="P284" s="150"/>
      <c r="Q284" s="151"/>
      <c r="R284" s="151"/>
      <c r="S284" s="151"/>
      <c r="T284" s="151"/>
      <c r="U284" s="151"/>
      <c r="V284" s="151"/>
      <c r="W284" s="151"/>
      <c r="X284" s="151"/>
      <c r="Y284" s="151"/>
    </row>
    <row r="285">
      <c r="A285" s="53" t="s">
        <v>460</v>
      </c>
      <c r="B285" s="152" t="s">
        <v>461</v>
      </c>
      <c r="C285" s="153" t="s">
        <v>456</v>
      </c>
      <c r="D285" s="154" t="s">
        <v>457</v>
      </c>
      <c r="E285" s="125" t="s">
        <v>15</v>
      </c>
      <c r="F285" s="88">
        <v>21.0</v>
      </c>
      <c r="G285" s="58">
        <v>12.72</v>
      </c>
      <c r="H285" s="58">
        <v>0.0</v>
      </c>
      <c r="I285" s="59">
        <f t="shared" si="162"/>
        <v>12.72</v>
      </c>
      <c r="J285" s="59">
        <f t="shared" si="163"/>
        <v>267.12</v>
      </c>
      <c r="K285" s="59">
        <f t="shared" si="164"/>
        <v>0</v>
      </c>
      <c r="L285" s="59">
        <f t="shared" si="165"/>
        <v>267.12</v>
      </c>
      <c r="M285" s="60">
        <f t="shared" si="166"/>
        <v>336.6</v>
      </c>
      <c r="N285" s="148"/>
      <c r="O285" s="149"/>
      <c r="P285" s="150"/>
      <c r="Q285" s="151"/>
      <c r="R285" s="151"/>
      <c r="S285" s="151"/>
      <c r="T285" s="151"/>
      <c r="U285" s="151"/>
      <c r="V285" s="151"/>
      <c r="W285" s="151"/>
      <c r="X285" s="151"/>
      <c r="Y285" s="151"/>
    </row>
    <row r="286">
      <c r="A286" s="53" t="s">
        <v>462</v>
      </c>
      <c r="B286" s="162" t="s">
        <v>463</v>
      </c>
      <c r="C286" s="153" t="s">
        <v>456</v>
      </c>
      <c r="D286" s="154" t="s">
        <v>457</v>
      </c>
      <c r="E286" s="125" t="s">
        <v>15</v>
      </c>
      <c r="F286" s="88">
        <v>21.0</v>
      </c>
      <c r="G286" s="58">
        <v>12.72</v>
      </c>
      <c r="H286" s="58">
        <v>0.0</v>
      </c>
      <c r="I286" s="59">
        <f t="shared" si="162"/>
        <v>12.72</v>
      </c>
      <c r="J286" s="59">
        <f t="shared" si="163"/>
        <v>267.12</v>
      </c>
      <c r="K286" s="59">
        <f t="shared" si="164"/>
        <v>0</v>
      </c>
      <c r="L286" s="59">
        <f t="shared" si="165"/>
        <v>267.12</v>
      </c>
      <c r="M286" s="60">
        <f t="shared" si="166"/>
        <v>336.6</v>
      </c>
      <c r="N286" s="148"/>
      <c r="O286" s="149"/>
      <c r="P286" s="150"/>
      <c r="Q286" s="151"/>
      <c r="R286" s="151"/>
      <c r="S286" s="151"/>
      <c r="T286" s="151"/>
      <c r="U286" s="151"/>
      <c r="V286" s="151"/>
      <c r="W286" s="151"/>
      <c r="X286" s="151"/>
      <c r="Y286" s="151"/>
    </row>
    <row r="287">
      <c r="A287" s="53" t="s">
        <v>464</v>
      </c>
      <c r="B287" s="152" t="s">
        <v>465</v>
      </c>
      <c r="C287" s="153" t="s">
        <v>442</v>
      </c>
      <c r="D287" s="154" t="s">
        <v>443</v>
      </c>
      <c r="E287" s="125" t="s">
        <v>15</v>
      </c>
      <c r="F287" s="88">
        <v>6.0</v>
      </c>
      <c r="G287" s="58">
        <v>15.6</v>
      </c>
      <c r="H287" s="58">
        <v>0.0</v>
      </c>
      <c r="I287" s="59">
        <f t="shared" si="162"/>
        <v>15.6</v>
      </c>
      <c r="J287" s="59">
        <f t="shared" si="163"/>
        <v>93.6</v>
      </c>
      <c r="K287" s="59">
        <f t="shared" si="164"/>
        <v>0</v>
      </c>
      <c r="L287" s="59">
        <f t="shared" si="165"/>
        <v>93.6</v>
      </c>
      <c r="M287" s="60">
        <f t="shared" si="166"/>
        <v>117.95</v>
      </c>
      <c r="N287" s="148"/>
      <c r="O287" s="149"/>
      <c r="P287" s="150"/>
      <c r="Q287" s="151"/>
      <c r="R287" s="151"/>
      <c r="S287" s="151"/>
      <c r="T287" s="151"/>
      <c r="U287" s="151"/>
      <c r="V287" s="151"/>
      <c r="W287" s="151"/>
      <c r="X287" s="151"/>
      <c r="Y287" s="151"/>
    </row>
    <row r="288">
      <c r="A288" s="53" t="s">
        <v>466</v>
      </c>
      <c r="B288" s="152" t="s">
        <v>467</v>
      </c>
      <c r="C288" s="153" t="s">
        <v>452</v>
      </c>
      <c r="D288" s="154" t="s">
        <v>453</v>
      </c>
      <c r="E288" s="125" t="s">
        <v>15</v>
      </c>
      <c r="F288" s="88">
        <v>1.0</v>
      </c>
      <c r="G288" s="58">
        <v>11.0</v>
      </c>
      <c r="H288" s="58">
        <v>0.0</v>
      </c>
      <c r="I288" s="59">
        <f t="shared" si="162"/>
        <v>11</v>
      </c>
      <c r="J288" s="59">
        <f t="shared" si="163"/>
        <v>11</v>
      </c>
      <c r="K288" s="59">
        <f t="shared" si="164"/>
        <v>0</v>
      </c>
      <c r="L288" s="59">
        <f t="shared" si="165"/>
        <v>11</v>
      </c>
      <c r="M288" s="60">
        <f t="shared" si="166"/>
        <v>13.86</v>
      </c>
      <c r="N288" s="148"/>
      <c r="O288" s="149"/>
      <c r="P288" s="150"/>
      <c r="Q288" s="151"/>
      <c r="R288" s="151"/>
      <c r="S288" s="151"/>
      <c r="T288" s="151"/>
      <c r="U288" s="151"/>
      <c r="V288" s="151"/>
      <c r="W288" s="151"/>
      <c r="X288" s="151"/>
      <c r="Y288" s="151"/>
    </row>
    <row r="289">
      <c r="A289" s="53" t="s">
        <v>468</v>
      </c>
      <c r="B289" s="152" t="s">
        <v>469</v>
      </c>
      <c r="C289" s="153" t="s">
        <v>470</v>
      </c>
      <c r="D289" s="163" t="s">
        <v>471</v>
      </c>
      <c r="E289" s="125" t="s">
        <v>58</v>
      </c>
      <c r="F289" s="88">
        <v>2.5</v>
      </c>
      <c r="G289" s="58">
        <v>436.76</v>
      </c>
      <c r="H289" s="58">
        <v>0.0</v>
      </c>
      <c r="I289" s="59">
        <f t="shared" si="162"/>
        <v>436.76</v>
      </c>
      <c r="J289" s="59">
        <f t="shared" si="163"/>
        <v>1091.9</v>
      </c>
      <c r="K289" s="59">
        <f t="shared" si="164"/>
        <v>0</v>
      </c>
      <c r="L289" s="59">
        <f t="shared" si="165"/>
        <v>1091.9</v>
      </c>
      <c r="M289" s="60">
        <f t="shared" si="166"/>
        <v>1375.9</v>
      </c>
      <c r="N289" s="148"/>
      <c r="O289" s="149"/>
      <c r="P289" s="150"/>
      <c r="Q289" s="151"/>
      <c r="R289" s="151"/>
      <c r="S289" s="151"/>
      <c r="T289" s="151"/>
      <c r="U289" s="151"/>
      <c r="V289" s="151"/>
      <c r="W289" s="151"/>
      <c r="X289" s="151"/>
      <c r="Y289" s="151"/>
    </row>
    <row r="290">
      <c r="A290" s="53" t="s">
        <v>472</v>
      </c>
      <c r="B290" s="152" t="s">
        <v>473</v>
      </c>
      <c r="C290" s="153" t="s">
        <v>474</v>
      </c>
      <c r="D290" s="154" t="s">
        <v>475</v>
      </c>
      <c r="E290" s="125" t="s">
        <v>51</v>
      </c>
      <c r="F290" s="88">
        <v>101.0</v>
      </c>
      <c r="G290" s="58">
        <f>10.59-H290</f>
        <v>9.66</v>
      </c>
      <c r="H290" s="58">
        <v>0.93</v>
      </c>
      <c r="I290" s="59">
        <f t="shared" si="162"/>
        <v>10.59</v>
      </c>
      <c r="J290" s="59">
        <f t="shared" si="163"/>
        <v>975.66</v>
      </c>
      <c r="K290" s="59">
        <f t="shared" si="164"/>
        <v>93.93</v>
      </c>
      <c r="L290" s="59">
        <f t="shared" si="165"/>
        <v>1069.59</v>
      </c>
      <c r="M290" s="60">
        <f t="shared" si="166"/>
        <v>1347.79</v>
      </c>
      <c r="N290" s="148"/>
      <c r="O290" s="149"/>
      <c r="P290" s="150"/>
      <c r="Q290" s="151"/>
      <c r="R290" s="151"/>
      <c r="S290" s="151"/>
      <c r="T290" s="151"/>
      <c r="U290" s="151"/>
      <c r="V290" s="151"/>
      <c r="W290" s="151"/>
      <c r="X290" s="151"/>
      <c r="Y290" s="151"/>
    </row>
    <row r="291">
      <c r="A291" s="141"/>
      <c r="B291" s="159"/>
      <c r="C291" s="160"/>
      <c r="D291" s="161" t="s">
        <v>476</v>
      </c>
      <c r="E291" s="144"/>
      <c r="F291" s="145"/>
      <c r="G291" s="146"/>
      <c r="H291" s="146"/>
      <c r="I291" s="147"/>
      <c r="J291" s="147"/>
      <c r="K291" s="147"/>
      <c r="L291" s="147"/>
      <c r="M291" s="79"/>
      <c r="N291" s="148"/>
      <c r="O291" s="149"/>
      <c r="P291" s="150"/>
      <c r="Q291" s="151"/>
      <c r="R291" s="151"/>
      <c r="S291" s="151"/>
      <c r="T291" s="151"/>
      <c r="U291" s="151"/>
      <c r="V291" s="151"/>
      <c r="W291" s="151"/>
      <c r="X291" s="151"/>
      <c r="Y291" s="151"/>
    </row>
    <row r="292">
      <c r="A292" s="53" t="s">
        <v>477</v>
      </c>
      <c r="B292" s="152" t="s">
        <v>478</v>
      </c>
      <c r="C292" s="153" t="s">
        <v>479</v>
      </c>
      <c r="D292" s="154" t="s">
        <v>480</v>
      </c>
      <c r="E292" s="125" t="s">
        <v>15</v>
      </c>
      <c r="F292" s="88">
        <v>9.0</v>
      </c>
      <c r="G292" s="58">
        <v>24.06</v>
      </c>
      <c r="H292" s="58">
        <v>4.48</v>
      </c>
      <c r="I292" s="59">
        <f t="shared" ref="I292:I296" si="167">G292+H292</f>
        <v>28.54</v>
      </c>
      <c r="J292" s="59">
        <f t="shared" ref="J292:J296" si="168">G292*F292</f>
        <v>216.54</v>
      </c>
      <c r="K292" s="59">
        <f t="shared" ref="K292:K296" si="169">H292*F292</f>
        <v>40.32</v>
      </c>
      <c r="L292" s="59">
        <f t="shared" ref="L292:L296" si="170">ROUND(J292+K292,2)</f>
        <v>256.86</v>
      </c>
      <c r="M292" s="60">
        <f t="shared" ref="M292:M296" si="171">ROUND(L292*(1+$M$4),2)</f>
        <v>323.67</v>
      </c>
      <c r="N292" s="148"/>
      <c r="O292" s="149"/>
      <c r="P292" s="150"/>
      <c r="Q292" s="151"/>
      <c r="R292" s="151"/>
      <c r="S292" s="151"/>
      <c r="T292" s="151"/>
      <c r="U292" s="151"/>
      <c r="V292" s="151"/>
      <c r="W292" s="151"/>
      <c r="X292" s="151"/>
      <c r="Y292" s="151"/>
    </row>
    <row r="293">
      <c r="A293" s="53" t="s">
        <v>481</v>
      </c>
      <c r="B293" s="152" t="s">
        <v>482</v>
      </c>
      <c r="C293" s="153" t="s">
        <v>483</v>
      </c>
      <c r="D293" s="154" t="s">
        <v>484</v>
      </c>
      <c r="E293" s="125" t="s">
        <v>15</v>
      </c>
      <c r="F293" s="88">
        <v>268.0</v>
      </c>
      <c r="G293" s="58">
        <f>'COTAÇÕES'!B39</f>
        <v>170.78</v>
      </c>
      <c r="H293" s="58">
        <v>0.0</v>
      </c>
      <c r="I293" s="59">
        <f t="shared" si="167"/>
        <v>170.78</v>
      </c>
      <c r="J293" s="59">
        <f t="shared" si="168"/>
        <v>45769.04</v>
      </c>
      <c r="K293" s="59">
        <f t="shared" si="169"/>
        <v>0</v>
      </c>
      <c r="L293" s="59">
        <f t="shared" si="170"/>
        <v>45769.04</v>
      </c>
      <c r="M293" s="60">
        <f t="shared" si="171"/>
        <v>57673.57</v>
      </c>
      <c r="N293" s="148"/>
      <c r="O293" s="149"/>
      <c r="P293" s="150"/>
      <c r="Q293" s="151"/>
      <c r="R293" s="151"/>
      <c r="S293" s="151"/>
      <c r="T293" s="151"/>
      <c r="U293" s="151"/>
      <c r="V293" s="151"/>
      <c r="W293" s="151"/>
      <c r="X293" s="151"/>
      <c r="Y293" s="151"/>
    </row>
    <row r="294">
      <c r="A294" s="53" t="s">
        <v>485</v>
      </c>
      <c r="B294" s="164" t="s">
        <v>486</v>
      </c>
      <c r="C294" s="165" t="s">
        <v>487</v>
      </c>
      <c r="D294" s="166" t="s">
        <v>488</v>
      </c>
      <c r="E294" s="167" t="s">
        <v>51</v>
      </c>
      <c r="F294" s="168">
        <v>1608.0</v>
      </c>
      <c r="G294" s="169">
        <v>3.14</v>
      </c>
      <c r="H294" s="169">
        <v>0.8</v>
      </c>
      <c r="I294" s="59">
        <f t="shared" si="167"/>
        <v>3.94</v>
      </c>
      <c r="J294" s="59">
        <f t="shared" si="168"/>
        <v>5049.12</v>
      </c>
      <c r="K294" s="59">
        <f t="shared" si="169"/>
        <v>1286.4</v>
      </c>
      <c r="L294" s="59">
        <f t="shared" si="170"/>
        <v>6335.52</v>
      </c>
      <c r="M294" s="60">
        <f t="shared" si="171"/>
        <v>7983.39</v>
      </c>
      <c r="N294" s="148"/>
      <c r="O294" s="149"/>
      <c r="P294" s="150"/>
      <c r="Q294" s="151"/>
      <c r="R294" s="151"/>
      <c r="S294" s="151"/>
      <c r="T294" s="151"/>
      <c r="U294" s="151"/>
      <c r="V294" s="151"/>
      <c r="W294" s="151"/>
      <c r="X294" s="151"/>
      <c r="Y294" s="151"/>
    </row>
    <row r="295">
      <c r="A295" s="53" t="s">
        <v>489</v>
      </c>
      <c r="B295" s="170" t="s">
        <v>490</v>
      </c>
      <c r="C295" s="165" t="s">
        <v>491</v>
      </c>
      <c r="D295" s="171" t="s">
        <v>492</v>
      </c>
      <c r="E295" s="172" t="s">
        <v>51</v>
      </c>
      <c r="F295" s="173">
        <v>804.0</v>
      </c>
      <c r="G295" s="169">
        <v>3.45</v>
      </c>
      <c r="H295" s="169">
        <v>0.0</v>
      </c>
      <c r="I295" s="59">
        <f t="shared" si="167"/>
        <v>3.45</v>
      </c>
      <c r="J295" s="59">
        <f t="shared" si="168"/>
        <v>2773.8</v>
      </c>
      <c r="K295" s="59">
        <f t="shared" si="169"/>
        <v>0</v>
      </c>
      <c r="L295" s="59">
        <f t="shared" si="170"/>
        <v>2773.8</v>
      </c>
      <c r="M295" s="60">
        <f t="shared" si="171"/>
        <v>3495.27</v>
      </c>
      <c r="N295" s="148"/>
      <c r="O295" s="149"/>
      <c r="P295" s="150"/>
      <c r="Q295" s="151"/>
      <c r="R295" s="151"/>
      <c r="S295" s="151"/>
      <c r="T295" s="151"/>
      <c r="U295" s="151"/>
      <c r="V295" s="151"/>
      <c r="W295" s="151"/>
      <c r="X295" s="151"/>
      <c r="Y295" s="151"/>
    </row>
    <row r="296">
      <c r="A296" s="53" t="s">
        <v>493</v>
      </c>
      <c r="B296" s="170" t="s">
        <v>494</v>
      </c>
      <c r="C296" s="165" t="s">
        <v>495</v>
      </c>
      <c r="D296" s="171" t="s">
        <v>496</v>
      </c>
      <c r="E296" s="172" t="s">
        <v>15</v>
      </c>
      <c r="F296" s="173">
        <v>268.0</v>
      </c>
      <c r="G296" s="169">
        <f>37.89-H296</f>
        <v>27.61</v>
      </c>
      <c r="H296" s="169">
        <v>10.28</v>
      </c>
      <c r="I296" s="59">
        <f t="shared" si="167"/>
        <v>37.89</v>
      </c>
      <c r="J296" s="59">
        <f t="shared" si="168"/>
        <v>7399.48</v>
      </c>
      <c r="K296" s="59">
        <f t="shared" si="169"/>
        <v>2755.04</v>
      </c>
      <c r="L296" s="59">
        <f t="shared" si="170"/>
        <v>10154.52</v>
      </c>
      <c r="M296" s="60">
        <f t="shared" si="171"/>
        <v>12795.71</v>
      </c>
      <c r="N296" s="148"/>
      <c r="O296" s="149"/>
      <c r="P296" s="150"/>
      <c r="Q296" s="151"/>
      <c r="R296" s="151"/>
      <c r="S296" s="151"/>
      <c r="T296" s="151"/>
      <c r="U296" s="151"/>
      <c r="V296" s="151"/>
      <c r="W296" s="151"/>
      <c r="X296" s="151"/>
      <c r="Y296" s="151"/>
    </row>
    <row r="297">
      <c r="A297" s="141"/>
      <c r="B297" s="159"/>
      <c r="C297" s="160"/>
      <c r="D297" s="161" t="s">
        <v>497</v>
      </c>
      <c r="E297" s="144"/>
      <c r="F297" s="145"/>
      <c r="G297" s="146"/>
      <c r="H297" s="146"/>
      <c r="I297" s="147"/>
      <c r="J297" s="147"/>
      <c r="K297" s="147"/>
      <c r="L297" s="147"/>
      <c r="M297" s="79"/>
      <c r="N297" s="148"/>
      <c r="O297" s="149"/>
      <c r="P297" s="150"/>
      <c r="Q297" s="151"/>
      <c r="R297" s="151"/>
      <c r="S297" s="151"/>
      <c r="T297" s="151"/>
      <c r="U297" s="151"/>
      <c r="V297" s="151"/>
      <c r="W297" s="151"/>
      <c r="X297" s="151"/>
      <c r="Y297" s="151"/>
    </row>
    <row r="298">
      <c r="A298" s="53" t="s">
        <v>498</v>
      </c>
      <c r="B298" s="152" t="s">
        <v>499</v>
      </c>
      <c r="C298" s="153" t="s">
        <v>500</v>
      </c>
      <c r="D298" s="154" t="s">
        <v>501</v>
      </c>
      <c r="E298" s="125" t="s">
        <v>15</v>
      </c>
      <c r="F298" s="88">
        <v>2.0</v>
      </c>
      <c r="G298" s="58">
        <v>1896.05</v>
      </c>
      <c r="H298" s="58">
        <v>14.66</v>
      </c>
      <c r="I298" s="59">
        <f t="shared" ref="I298:I308" si="172">G298+H298</f>
        <v>1910.71</v>
      </c>
      <c r="J298" s="59">
        <f t="shared" ref="J298:J308" si="173">G298*F298</f>
        <v>3792.1</v>
      </c>
      <c r="K298" s="59">
        <f t="shared" ref="K298:K308" si="174">H298*F298</f>
        <v>29.32</v>
      </c>
      <c r="L298" s="59">
        <f t="shared" ref="L298:L308" si="175">ROUND(J298+K298,2)</f>
        <v>3821.42</v>
      </c>
      <c r="M298" s="174">
        <f t="shared" ref="M298:M308" si="176">ROUND(L298*(1+$M$4),2)</f>
        <v>4815.37</v>
      </c>
      <c r="N298" s="148"/>
      <c r="O298" s="149"/>
      <c r="P298" s="150"/>
      <c r="Q298" s="151"/>
      <c r="R298" s="151"/>
      <c r="S298" s="151"/>
      <c r="T298" s="151"/>
      <c r="U298" s="151"/>
      <c r="V298" s="151"/>
      <c r="W298" s="151"/>
      <c r="X298" s="151"/>
      <c r="Y298" s="151"/>
    </row>
    <row r="299">
      <c r="A299" s="53" t="s">
        <v>502</v>
      </c>
      <c r="B299" s="152" t="s">
        <v>499</v>
      </c>
      <c r="C299" s="153" t="s">
        <v>503</v>
      </c>
      <c r="D299" s="154" t="s">
        <v>504</v>
      </c>
      <c r="E299" s="125" t="s">
        <v>15</v>
      </c>
      <c r="F299" s="88">
        <v>2.0</v>
      </c>
      <c r="G299" s="58">
        <v>393.37</v>
      </c>
      <c r="H299" s="58">
        <v>14.66</v>
      </c>
      <c r="I299" s="59">
        <f t="shared" si="172"/>
        <v>408.03</v>
      </c>
      <c r="J299" s="59">
        <f t="shared" si="173"/>
        <v>786.74</v>
      </c>
      <c r="K299" s="59">
        <f t="shared" si="174"/>
        <v>29.32</v>
      </c>
      <c r="L299" s="59">
        <f t="shared" si="175"/>
        <v>816.06</v>
      </c>
      <c r="M299" s="60">
        <f t="shared" si="176"/>
        <v>1028.32</v>
      </c>
      <c r="N299" s="148"/>
      <c r="O299" s="149"/>
      <c r="P299" s="150"/>
      <c r="Q299" s="151"/>
      <c r="R299" s="151"/>
      <c r="S299" s="151"/>
      <c r="T299" s="151"/>
      <c r="U299" s="151"/>
      <c r="V299" s="151"/>
      <c r="W299" s="151"/>
      <c r="X299" s="151"/>
      <c r="Y299" s="151"/>
    </row>
    <row r="300">
      <c r="A300" s="53" t="s">
        <v>505</v>
      </c>
      <c r="B300" s="152" t="s">
        <v>506</v>
      </c>
      <c r="C300" s="153" t="s">
        <v>507</v>
      </c>
      <c r="D300" s="154" t="s">
        <v>508</v>
      </c>
      <c r="E300" s="125" t="s">
        <v>51</v>
      </c>
      <c r="F300" s="88">
        <v>480.0</v>
      </c>
      <c r="G300" s="58">
        <v>18.35</v>
      </c>
      <c r="H300" s="58">
        <v>2.21</v>
      </c>
      <c r="I300" s="59">
        <f t="shared" si="172"/>
        <v>20.56</v>
      </c>
      <c r="J300" s="59">
        <f t="shared" si="173"/>
        <v>8808</v>
      </c>
      <c r="K300" s="59">
        <f t="shared" si="174"/>
        <v>1060.8</v>
      </c>
      <c r="L300" s="59">
        <f t="shared" si="175"/>
        <v>9868.8</v>
      </c>
      <c r="M300" s="60">
        <f t="shared" si="176"/>
        <v>12435.67</v>
      </c>
      <c r="N300" s="148"/>
      <c r="O300" s="149"/>
      <c r="P300" s="150"/>
      <c r="Q300" s="151"/>
      <c r="R300" s="151"/>
      <c r="S300" s="151"/>
      <c r="T300" s="151"/>
      <c r="U300" s="151"/>
      <c r="V300" s="151"/>
      <c r="W300" s="151"/>
      <c r="X300" s="151"/>
      <c r="Y300" s="151"/>
    </row>
    <row r="301">
      <c r="A301" s="53" t="s">
        <v>509</v>
      </c>
      <c r="B301" s="152" t="s">
        <v>510</v>
      </c>
      <c r="C301" s="165" t="s">
        <v>487</v>
      </c>
      <c r="D301" s="166" t="s">
        <v>488</v>
      </c>
      <c r="E301" s="167" t="s">
        <v>51</v>
      </c>
      <c r="F301" s="88">
        <v>940.0</v>
      </c>
      <c r="G301" s="169">
        <v>3.14</v>
      </c>
      <c r="H301" s="169">
        <v>0.8</v>
      </c>
      <c r="I301" s="59">
        <f t="shared" si="172"/>
        <v>3.94</v>
      </c>
      <c r="J301" s="59">
        <f t="shared" si="173"/>
        <v>2951.6</v>
      </c>
      <c r="K301" s="59">
        <f t="shared" si="174"/>
        <v>752</v>
      </c>
      <c r="L301" s="59">
        <f t="shared" si="175"/>
        <v>3703.6</v>
      </c>
      <c r="M301" s="60">
        <f t="shared" si="176"/>
        <v>4666.91</v>
      </c>
      <c r="N301" s="148"/>
      <c r="O301" s="149"/>
      <c r="P301" s="150"/>
      <c r="Q301" s="151"/>
      <c r="R301" s="151"/>
      <c r="S301" s="151"/>
      <c r="T301" s="151"/>
      <c r="U301" s="151"/>
      <c r="V301" s="151"/>
      <c r="W301" s="151"/>
      <c r="X301" s="151"/>
      <c r="Y301" s="151"/>
    </row>
    <row r="302">
      <c r="A302" s="53" t="s">
        <v>511</v>
      </c>
      <c r="B302" s="152" t="s">
        <v>512</v>
      </c>
      <c r="C302" s="153">
        <v>91863.0</v>
      </c>
      <c r="D302" s="154" t="s">
        <v>286</v>
      </c>
      <c r="E302" s="125" t="s">
        <v>51</v>
      </c>
      <c r="F302" s="88">
        <v>480.0</v>
      </c>
      <c r="G302" s="58">
        <v>8.25</v>
      </c>
      <c r="H302" s="58">
        <v>4.2</v>
      </c>
      <c r="I302" s="59">
        <f t="shared" si="172"/>
        <v>12.45</v>
      </c>
      <c r="J302" s="59">
        <f t="shared" si="173"/>
        <v>3960</v>
      </c>
      <c r="K302" s="59">
        <f t="shared" si="174"/>
        <v>2016</v>
      </c>
      <c r="L302" s="59">
        <f t="shared" si="175"/>
        <v>5976</v>
      </c>
      <c r="M302" s="60">
        <f t="shared" si="176"/>
        <v>7530.36</v>
      </c>
      <c r="N302" s="148"/>
      <c r="O302" s="149"/>
      <c r="P302" s="150"/>
      <c r="Q302" s="151"/>
      <c r="R302" s="151"/>
      <c r="S302" s="151"/>
      <c r="T302" s="151"/>
      <c r="U302" s="151"/>
      <c r="V302" s="151"/>
      <c r="W302" s="151"/>
      <c r="X302" s="151"/>
      <c r="Y302" s="151"/>
    </row>
    <row r="303">
      <c r="A303" s="53" t="s">
        <v>513</v>
      </c>
      <c r="B303" s="152" t="s">
        <v>514</v>
      </c>
      <c r="C303" s="153">
        <v>93662.0</v>
      </c>
      <c r="D303" s="154" t="s">
        <v>515</v>
      </c>
      <c r="E303" s="125" t="s">
        <v>15</v>
      </c>
      <c r="F303" s="88">
        <v>4.0</v>
      </c>
      <c r="G303" s="58">
        <v>66.8</v>
      </c>
      <c r="H303" s="58">
        <v>4.43</v>
      </c>
      <c r="I303" s="59">
        <f t="shared" si="172"/>
        <v>71.23</v>
      </c>
      <c r="J303" s="59">
        <f t="shared" si="173"/>
        <v>267.2</v>
      </c>
      <c r="K303" s="59">
        <f t="shared" si="174"/>
        <v>17.72</v>
      </c>
      <c r="L303" s="59">
        <f t="shared" si="175"/>
        <v>284.92</v>
      </c>
      <c r="M303" s="60">
        <f t="shared" si="176"/>
        <v>359.03</v>
      </c>
      <c r="N303" s="3"/>
      <c r="O303" s="62"/>
      <c r="P303" s="140"/>
      <c r="Q303" s="4"/>
      <c r="R303" s="4"/>
      <c r="S303" s="4"/>
      <c r="T303" s="4"/>
      <c r="U303" s="4"/>
      <c r="V303" s="4"/>
      <c r="W303" s="4"/>
      <c r="X303" s="4"/>
      <c r="Y303" s="4"/>
    </row>
    <row r="304">
      <c r="A304" s="53" t="s">
        <v>516</v>
      </c>
      <c r="B304" s="152" t="s">
        <v>517</v>
      </c>
      <c r="C304" s="153" t="s">
        <v>518</v>
      </c>
      <c r="D304" s="154" t="s">
        <v>519</v>
      </c>
      <c r="E304" s="125" t="s">
        <v>15</v>
      </c>
      <c r="F304" s="88">
        <v>4.0</v>
      </c>
      <c r="G304" s="58">
        <v>160.0</v>
      </c>
      <c r="H304" s="58">
        <v>0.0</v>
      </c>
      <c r="I304" s="59">
        <f t="shared" si="172"/>
        <v>160</v>
      </c>
      <c r="J304" s="59">
        <f t="shared" si="173"/>
        <v>640</v>
      </c>
      <c r="K304" s="59">
        <f t="shared" si="174"/>
        <v>0</v>
      </c>
      <c r="L304" s="59">
        <f t="shared" si="175"/>
        <v>640</v>
      </c>
      <c r="M304" s="60">
        <f t="shared" si="176"/>
        <v>806.46</v>
      </c>
      <c r="N304" s="3"/>
      <c r="O304" s="62"/>
      <c r="P304" s="140"/>
      <c r="Q304" s="4"/>
      <c r="R304" s="4"/>
      <c r="S304" s="4"/>
      <c r="T304" s="4"/>
      <c r="U304" s="4"/>
      <c r="V304" s="4"/>
      <c r="W304" s="4"/>
      <c r="X304" s="4"/>
      <c r="Y304" s="4"/>
    </row>
    <row r="305">
      <c r="A305" s="53" t="s">
        <v>520</v>
      </c>
      <c r="B305" s="152" t="s">
        <v>288</v>
      </c>
      <c r="C305" s="153" t="s">
        <v>521</v>
      </c>
      <c r="D305" s="154" t="s">
        <v>522</v>
      </c>
      <c r="E305" s="125" t="s">
        <v>15</v>
      </c>
      <c r="F305" s="88">
        <v>38.0</v>
      </c>
      <c r="G305" s="58">
        <v>21.47</v>
      </c>
      <c r="H305" s="58">
        <v>11.98</v>
      </c>
      <c r="I305" s="59">
        <f t="shared" si="172"/>
        <v>33.45</v>
      </c>
      <c r="J305" s="59">
        <f t="shared" si="173"/>
        <v>815.86</v>
      </c>
      <c r="K305" s="59">
        <f t="shared" si="174"/>
        <v>455.24</v>
      </c>
      <c r="L305" s="59">
        <f t="shared" si="175"/>
        <v>1271.1</v>
      </c>
      <c r="M305" s="60">
        <f t="shared" si="176"/>
        <v>1601.71</v>
      </c>
      <c r="N305" s="3"/>
      <c r="O305" s="62"/>
      <c r="P305" s="140"/>
      <c r="Q305" s="4"/>
      <c r="R305" s="4"/>
      <c r="S305" s="4"/>
      <c r="T305" s="4"/>
      <c r="U305" s="4"/>
      <c r="V305" s="4"/>
      <c r="W305" s="4"/>
      <c r="X305" s="4"/>
      <c r="Y305" s="4"/>
    </row>
    <row r="306">
      <c r="A306" s="53" t="s">
        <v>523</v>
      </c>
      <c r="B306" s="152" t="s">
        <v>524</v>
      </c>
      <c r="C306" s="153" t="s">
        <v>270</v>
      </c>
      <c r="D306" s="154" t="s">
        <v>271</v>
      </c>
      <c r="E306" s="125" t="s">
        <v>15</v>
      </c>
      <c r="F306" s="88">
        <v>13.0</v>
      </c>
      <c r="G306" s="58">
        <v>16.16</v>
      </c>
      <c r="H306" s="58">
        <v>31.43</v>
      </c>
      <c r="I306" s="59">
        <f t="shared" si="172"/>
        <v>47.59</v>
      </c>
      <c r="J306" s="59">
        <f t="shared" si="173"/>
        <v>210.08</v>
      </c>
      <c r="K306" s="59">
        <f t="shared" si="174"/>
        <v>408.59</v>
      </c>
      <c r="L306" s="59">
        <f t="shared" si="175"/>
        <v>618.67</v>
      </c>
      <c r="M306" s="60">
        <f t="shared" si="176"/>
        <v>779.59</v>
      </c>
      <c r="N306" s="3"/>
      <c r="O306" s="62"/>
      <c r="P306" s="140"/>
      <c r="Q306" s="4"/>
      <c r="R306" s="4"/>
      <c r="S306" s="4"/>
      <c r="T306" s="4"/>
      <c r="U306" s="4"/>
      <c r="V306" s="4"/>
      <c r="W306" s="4"/>
      <c r="X306" s="4"/>
      <c r="Y306" s="4"/>
    </row>
    <row r="307">
      <c r="A307" s="53" t="s">
        <v>525</v>
      </c>
      <c r="B307" s="152" t="s">
        <v>526</v>
      </c>
      <c r="C307" s="153" t="s">
        <v>527</v>
      </c>
      <c r="D307" s="154" t="s">
        <v>528</v>
      </c>
      <c r="E307" s="125" t="s">
        <v>15</v>
      </c>
      <c r="F307" s="88">
        <v>21.0</v>
      </c>
      <c r="G307" s="58">
        <v>191.23</v>
      </c>
      <c r="H307" s="58">
        <v>10.28</v>
      </c>
      <c r="I307" s="59">
        <f t="shared" si="172"/>
        <v>201.51</v>
      </c>
      <c r="J307" s="59">
        <f t="shared" si="173"/>
        <v>4015.83</v>
      </c>
      <c r="K307" s="59">
        <f t="shared" si="174"/>
        <v>215.88</v>
      </c>
      <c r="L307" s="59">
        <f t="shared" si="175"/>
        <v>4231.71</v>
      </c>
      <c r="M307" s="60">
        <f t="shared" si="176"/>
        <v>5332.38</v>
      </c>
      <c r="N307" s="3"/>
      <c r="O307" s="62"/>
      <c r="P307" s="140"/>
      <c r="Q307" s="4"/>
      <c r="R307" s="4"/>
      <c r="S307" s="4"/>
      <c r="T307" s="4"/>
      <c r="U307" s="4"/>
      <c r="V307" s="4"/>
      <c r="W307" s="4"/>
      <c r="X307" s="4"/>
      <c r="Y307" s="4"/>
    </row>
    <row r="308">
      <c r="A308" s="53" t="s">
        <v>529</v>
      </c>
      <c r="B308" s="152" t="s">
        <v>526</v>
      </c>
      <c r="C308" s="104" t="s">
        <v>278</v>
      </c>
      <c r="D308" s="128" t="s">
        <v>279</v>
      </c>
      <c r="E308" s="129" t="s">
        <v>15</v>
      </c>
      <c r="F308" s="88">
        <v>21.0</v>
      </c>
      <c r="G308" s="58">
        <f>130.7-H308</f>
        <v>117.54</v>
      </c>
      <c r="H308" s="58">
        <v>13.16</v>
      </c>
      <c r="I308" s="59">
        <f t="shared" si="172"/>
        <v>130.7</v>
      </c>
      <c r="J308" s="59">
        <f t="shared" si="173"/>
        <v>2468.34</v>
      </c>
      <c r="K308" s="59">
        <f t="shared" si="174"/>
        <v>276.36</v>
      </c>
      <c r="L308" s="59">
        <f t="shared" si="175"/>
        <v>2744.7</v>
      </c>
      <c r="M308" s="60">
        <f t="shared" si="176"/>
        <v>3458.6</v>
      </c>
      <c r="N308" s="3"/>
      <c r="O308" s="62"/>
      <c r="P308" s="140"/>
      <c r="Q308" s="4"/>
      <c r="R308" s="4"/>
      <c r="S308" s="4"/>
      <c r="T308" s="4"/>
      <c r="U308" s="4"/>
      <c r="V308" s="4"/>
      <c r="W308" s="4"/>
      <c r="X308" s="4"/>
      <c r="Y308" s="4"/>
    </row>
    <row r="309">
      <c r="A309" s="44"/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5"/>
      <c r="N309" s="7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 ht="12.75" customHeight="1">
      <c r="A310" s="112" t="s">
        <v>530</v>
      </c>
      <c r="B310" s="113"/>
      <c r="C310" s="114"/>
      <c r="D310" s="48" t="s">
        <v>531</v>
      </c>
      <c r="E310" s="34"/>
      <c r="F310" s="34"/>
      <c r="G310" s="34"/>
      <c r="H310" s="34"/>
      <c r="I310" s="35"/>
      <c r="J310" s="49">
        <f t="shared" ref="J310:M310" si="177">SUM(J311:J325)</f>
        <v>56936.1281</v>
      </c>
      <c r="K310" s="49">
        <f t="shared" si="177"/>
        <v>7575.2062</v>
      </c>
      <c r="L310" s="49">
        <f t="shared" si="177"/>
        <v>64511.34</v>
      </c>
      <c r="M310" s="49">
        <f t="shared" si="177"/>
        <v>81290.74</v>
      </c>
      <c r="N310" s="74">
        <f>M310</f>
        <v>81290.74</v>
      </c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>
      <c r="A311" s="84" t="s">
        <v>532</v>
      </c>
      <c r="B311" s="155" t="s">
        <v>533</v>
      </c>
      <c r="C311" s="156" t="s">
        <v>534</v>
      </c>
      <c r="D311" s="154" t="s">
        <v>535</v>
      </c>
      <c r="E311" s="125" t="s">
        <v>43</v>
      </c>
      <c r="F311" s="57">
        <v>0.26</v>
      </c>
      <c r="G311" s="58">
        <v>16.61</v>
      </c>
      <c r="H311" s="58">
        <v>35.08</v>
      </c>
      <c r="I311" s="59">
        <f t="shared" ref="I311:I325" si="178">G311+H311</f>
        <v>51.69</v>
      </c>
      <c r="J311" s="59">
        <f t="shared" ref="J311:J325" si="179">G311*F311</f>
        <v>4.3186</v>
      </c>
      <c r="K311" s="59">
        <f t="shared" ref="K311:K325" si="180">H311*F311</f>
        <v>9.1208</v>
      </c>
      <c r="L311" s="59">
        <f t="shared" ref="L311:L325" si="181">ROUND(J311+K311,2)</f>
        <v>13.44</v>
      </c>
      <c r="M311" s="60">
        <f t="shared" ref="M311:M325" si="182">ROUND(L311*(1+$M$4),2)</f>
        <v>16.94</v>
      </c>
      <c r="N311" s="61"/>
      <c r="O311" s="62"/>
      <c r="P311" s="140"/>
      <c r="Q311" s="64"/>
      <c r="R311" s="64"/>
      <c r="S311" s="64"/>
      <c r="T311" s="64"/>
      <c r="U311" s="64"/>
      <c r="V311" s="64"/>
      <c r="W311" s="64"/>
      <c r="X311" s="64"/>
      <c r="Y311" s="64"/>
    </row>
    <row r="312">
      <c r="A312" s="84" t="s">
        <v>536</v>
      </c>
      <c r="B312" s="155" t="s">
        <v>537</v>
      </c>
      <c r="C312" s="175" t="s">
        <v>538</v>
      </c>
      <c r="D312" s="154" t="s">
        <v>539</v>
      </c>
      <c r="E312" s="125" t="s">
        <v>58</v>
      </c>
      <c r="F312" s="57">
        <v>0.54</v>
      </c>
      <c r="G312" s="58">
        <v>2.12</v>
      </c>
      <c r="H312" s="58">
        <v>1.68</v>
      </c>
      <c r="I312" s="59">
        <f t="shared" si="178"/>
        <v>3.8</v>
      </c>
      <c r="J312" s="59">
        <f t="shared" si="179"/>
        <v>1.1448</v>
      </c>
      <c r="K312" s="59">
        <f t="shared" si="180"/>
        <v>0.9072</v>
      </c>
      <c r="L312" s="59">
        <f t="shared" si="181"/>
        <v>2.05</v>
      </c>
      <c r="M312" s="60">
        <f t="shared" si="182"/>
        <v>2.58</v>
      </c>
      <c r="N312" s="61"/>
      <c r="O312" s="62"/>
      <c r="P312" s="140"/>
      <c r="Q312" s="64"/>
      <c r="R312" s="64"/>
      <c r="S312" s="64"/>
      <c r="T312" s="64"/>
      <c r="U312" s="64"/>
      <c r="V312" s="64"/>
      <c r="W312" s="64"/>
      <c r="X312" s="64"/>
      <c r="Y312" s="64"/>
    </row>
    <row r="313">
      <c r="A313" s="84" t="s">
        <v>540</v>
      </c>
      <c r="B313" s="155" t="s">
        <v>537</v>
      </c>
      <c r="C313" s="175" t="s">
        <v>541</v>
      </c>
      <c r="D313" s="154" t="s">
        <v>542</v>
      </c>
      <c r="E313" s="125" t="s">
        <v>58</v>
      </c>
      <c r="F313" s="57">
        <v>0.54</v>
      </c>
      <c r="G313" s="58">
        <v>25.56</v>
      </c>
      <c r="H313" s="58">
        <v>26.96</v>
      </c>
      <c r="I313" s="59">
        <f t="shared" si="178"/>
        <v>52.52</v>
      </c>
      <c r="J313" s="59">
        <f t="shared" si="179"/>
        <v>13.8024</v>
      </c>
      <c r="K313" s="59">
        <f t="shared" si="180"/>
        <v>14.5584</v>
      </c>
      <c r="L313" s="59">
        <f t="shared" si="181"/>
        <v>28.36</v>
      </c>
      <c r="M313" s="60">
        <f t="shared" si="182"/>
        <v>35.74</v>
      </c>
      <c r="N313" s="61"/>
      <c r="O313" s="62"/>
      <c r="P313" s="140"/>
      <c r="Q313" s="64"/>
      <c r="R313" s="64"/>
      <c r="S313" s="64"/>
      <c r="T313" s="64"/>
      <c r="U313" s="64"/>
      <c r="V313" s="64"/>
      <c r="W313" s="64"/>
      <c r="X313" s="64"/>
      <c r="Y313" s="64"/>
    </row>
    <row r="314">
      <c r="A314" s="84" t="s">
        <v>543</v>
      </c>
      <c r="B314" s="155" t="s">
        <v>537</v>
      </c>
      <c r="C314" s="175" t="s">
        <v>544</v>
      </c>
      <c r="D314" s="154" t="s">
        <v>545</v>
      </c>
      <c r="E314" s="125" t="s">
        <v>58</v>
      </c>
      <c r="F314" s="57">
        <v>0.54</v>
      </c>
      <c r="G314" s="58">
        <v>9.87</v>
      </c>
      <c r="H314" s="58">
        <v>4.4</v>
      </c>
      <c r="I314" s="59">
        <f t="shared" si="178"/>
        <v>14.27</v>
      </c>
      <c r="J314" s="59">
        <f t="shared" si="179"/>
        <v>5.3298</v>
      </c>
      <c r="K314" s="59">
        <f t="shared" si="180"/>
        <v>2.376</v>
      </c>
      <c r="L314" s="59">
        <f t="shared" si="181"/>
        <v>7.71</v>
      </c>
      <c r="M314" s="60">
        <f t="shared" si="182"/>
        <v>9.72</v>
      </c>
      <c r="N314" s="61"/>
      <c r="O314" s="62"/>
      <c r="P314" s="140"/>
      <c r="Q314" s="64"/>
      <c r="R314" s="64"/>
      <c r="S314" s="64"/>
      <c r="T314" s="64"/>
      <c r="U314" s="64"/>
      <c r="V314" s="64"/>
      <c r="W314" s="64"/>
      <c r="X314" s="64"/>
      <c r="Y314" s="64"/>
    </row>
    <row r="315">
      <c r="A315" s="84" t="s">
        <v>546</v>
      </c>
      <c r="B315" s="155" t="s">
        <v>547</v>
      </c>
      <c r="C315" s="175" t="s">
        <v>548</v>
      </c>
      <c r="D315" s="154" t="s">
        <v>549</v>
      </c>
      <c r="E315" s="125" t="s">
        <v>51</v>
      </c>
      <c r="F315" s="57">
        <v>1.5</v>
      </c>
      <c r="G315" s="58">
        <v>96.67</v>
      </c>
      <c r="H315" s="58">
        <v>15.21</v>
      </c>
      <c r="I315" s="59">
        <f t="shared" si="178"/>
        <v>111.88</v>
      </c>
      <c r="J315" s="59">
        <f t="shared" si="179"/>
        <v>145.005</v>
      </c>
      <c r="K315" s="59">
        <f t="shared" si="180"/>
        <v>22.815</v>
      </c>
      <c r="L315" s="59">
        <f t="shared" si="181"/>
        <v>167.82</v>
      </c>
      <c r="M315" s="60">
        <f t="shared" si="182"/>
        <v>211.47</v>
      </c>
      <c r="N315" s="61"/>
      <c r="O315" s="62"/>
      <c r="P315" s="140"/>
      <c r="Q315" s="64"/>
      <c r="R315" s="64"/>
      <c r="S315" s="64"/>
      <c r="T315" s="64"/>
      <c r="U315" s="64"/>
      <c r="V315" s="64"/>
      <c r="W315" s="64"/>
      <c r="X315" s="64"/>
      <c r="Y315" s="64"/>
    </row>
    <row r="316">
      <c r="A316" s="84" t="s">
        <v>550</v>
      </c>
      <c r="B316" s="155" t="s">
        <v>551</v>
      </c>
      <c r="C316" s="175" t="s">
        <v>552</v>
      </c>
      <c r="D316" s="154" t="s">
        <v>553</v>
      </c>
      <c r="E316" s="125" t="s">
        <v>58</v>
      </c>
      <c r="F316" s="57">
        <v>3.3</v>
      </c>
      <c r="G316" s="58">
        <v>15.96</v>
      </c>
      <c r="H316" s="58">
        <v>16.35</v>
      </c>
      <c r="I316" s="59">
        <f t="shared" si="178"/>
        <v>32.31</v>
      </c>
      <c r="J316" s="59">
        <f t="shared" si="179"/>
        <v>52.668</v>
      </c>
      <c r="K316" s="59">
        <f t="shared" si="180"/>
        <v>53.955</v>
      </c>
      <c r="L316" s="59">
        <f t="shared" si="181"/>
        <v>106.62</v>
      </c>
      <c r="M316" s="60">
        <f t="shared" si="182"/>
        <v>134.35</v>
      </c>
      <c r="N316" s="61"/>
      <c r="O316" s="62"/>
      <c r="P316" s="140"/>
      <c r="Q316" s="64"/>
      <c r="R316" s="64"/>
      <c r="S316" s="64"/>
      <c r="T316" s="64"/>
      <c r="U316" s="64"/>
      <c r="V316" s="64"/>
      <c r="W316" s="64"/>
      <c r="X316" s="64"/>
      <c r="Y316" s="64"/>
    </row>
    <row r="317">
      <c r="A317" s="84" t="s">
        <v>554</v>
      </c>
      <c r="B317" s="155" t="s">
        <v>555</v>
      </c>
      <c r="C317" s="175" t="s">
        <v>534</v>
      </c>
      <c r="D317" s="154" t="s">
        <v>535</v>
      </c>
      <c r="E317" s="125" t="s">
        <v>43</v>
      </c>
      <c r="F317" s="57">
        <v>0.3</v>
      </c>
      <c r="G317" s="58">
        <v>16.61</v>
      </c>
      <c r="H317" s="58">
        <v>35.08</v>
      </c>
      <c r="I317" s="59">
        <f t="shared" si="178"/>
        <v>51.69</v>
      </c>
      <c r="J317" s="59">
        <f t="shared" si="179"/>
        <v>4.983</v>
      </c>
      <c r="K317" s="59">
        <f t="shared" si="180"/>
        <v>10.524</v>
      </c>
      <c r="L317" s="59">
        <f t="shared" si="181"/>
        <v>15.51</v>
      </c>
      <c r="M317" s="60">
        <f t="shared" si="182"/>
        <v>19.54</v>
      </c>
      <c r="N317" s="61"/>
      <c r="O317" s="62"/>
      <c r="P317" s="140"/>
      <c r="Q317" s="64"/>
      <c r="R317" s="64"/>
      <c r="S317" s="64"/>
      <c r="T317" s="64"/>
      <c r="U317" s="64"/>
      <c r="V317" s="64"/>
      <c r="W317" s="64"/>
      <c r="X317" s="64"/>
      <c r="Y317" s="64"/>
    </row>
    <row r="318">
      <c r="A318" s="84" t="s">
        <v>556</v>
      </c>
      <c r="B318" s="155" t="s">
        <v>557</v>
      </c>
      <c r="C318" s="175">
        <v>103325.0</v>
      </c>
      <c r="D318" s="154" t="s">
        <v>558</v>
      </c>
      <c r="E318" s="125" t="s">
        <v>58</v>
      </c>
      <c r="F318" s="57">
        <v>1.62</v>
      </c>
      <c r="G318" s="58">
        <v>53.31</v>
      </c>
      <c r="H318" s="58">
        <v>23.57</v>
      </c>
      <c r="I318" s="59">
        <f t="shared" si="178"/>
        <v>76.88</v>
      </c>
      <c r="J318" s="59">
        <f t="shared" si="179"/>
        <v>86.3622</v>
      </c>
      <c r="K318" s="59">
        <f t="shared" si="180"/>
        <v>38.1834</v>
      </c>
      <c r="L318" s="59">
        <f t="shared" si="181"/>
        <v>124.55</v>
      </c>
      <c r="M318" s="60">
        <f t="shared" si="182"/>
        <v>156.95</v>
      </c>
      <c r="N318" s="61"/>
      <c r="O318" s="62"/>
      <c r="P318" s="140"/>
      <c r="Q318" s="64"/>
      <c r="R318" s="64"/>
      <c r="S318" s="64"/>
      <c r="T318" s="64"/>
      <c r="U318" s="64"/>
      <c r="V318" s="64"/>
      <c r="W318" s="64"/>
      <c r="X318" s="64"/>
      <c r="Y318" s="64"/>
    </row>
    <row r="319">
      <c r="A319" s="84" t="s">
        <v>559</v>
      </c>
      <c r="B319" s="155" t="s">
        <v>560</v>
      </c>
      <c r="C319" s="175">
        <v>87879.0</v>
      </c>
      <c r="D319" s="154" t="s">
        <v>539</v>
      </c>
      <c r="E319" s="125" t="s">
        <v>58</v>
      </c>
      <c r="F319" s="57">
        <v>4.38</v>
      </c>
      <c r="G319" s="58">
        <v>2.12</v>
      </c>
      <c r="H319" s="58">
        <v>1.68</v>
      </c>
      <c r="I319" s="59">
        <f t="shared" si="178"/>
        <v>3.8</v>
      </c>
      <c r="J319" s="59">
        <f t="shared" si="179"/>
        <v>9.2856</v>
      </c>
      <c r="K319" s="59">
        <f t="shared" si="180"/>
        <v>7.3584</v>
      </c>
      <c r="L319" s="59">
        <f t="shared" si="181"/>
        <v>16.64</v>
      </c>
      <c r="M319" s="60">
        <f t="shared" si="182"/>
        <v>20.97</v>
      </c>
      <c r="N319" s="61"/>
      <c r="O319" s="62"/>
      <c r="P319" s="140"/>
      <c r="Q319" s="64"/>
      <c r="R319" s="64"/>
      <c r="S319" s="64"/>
      <c r="T319" s="64"/>
      <c r="U319" s="64"/>
      <c r="V319" s="64"/>
      <c r="W319" s="64"/>
      <c r="X319" s="64"/>
      <c r="Y319" s="64"/>
    </row>
    <row r="320">
      <c r="A320" s="84" t="s">
        <v>561</v>
      </c>
      <c r="B320" s="155" t="s">
        <v>560</v>
      </c>
      <c r="C320" s="175">
        <v>87775.0</v>
      </c>
      <c r="D320" s="154" t="s">
        <v>542</v>
      </c>
      <c r="E320" s="125" t="s">
        <v>58</v>
      </c>
      <c r="F320" s="57">
        <v>4.38</v>
      </c>
      <c r="G320" s="58">
        <v>25.56</v>
      </c>
      <c r="H320" s="58">
        <v>26.96</v>
      </c>
      <c r="I320" s="59">
        <f t="shared" si="178"/>
        <v>52.52</v>
      </c>
      <c r="J320" s="59">
        <f t="shared" si="179"/>
        <v>111.9528</v>
      </c>
      <c r="K320" s="59">
        <f t="shared" si="180"/>
        <v>118.0848</v>
      </c>
      <c r="L320" s="59">
        <f t="shared" si="181"/>
        <v>230.04</v>
      </c>
      <c r="M320" s="60">
        <f t="shared" si="182"/>
        <v>289.87</v>
      </c>
      <c r="N320" s="61"/>
      <c r="O320" s="62"/>
      <c r="P320" s="140"/>
      <c r="Q320" s="64"/>
      <c r="R320" s="64"/>
      <c r="S320" s="64"/>
      <c r="T320" s="64"/>
      <c r="U320" s="64"/>
      <c r="V320" s="64"/>
      <c r="W320" s="64"/>
      <c r="X320" s="64"/>
      <c r="Y320" s="64"/>
    </row>
    <row r="321">
      <c r="A321" s="84" t="s">
        <v>562</v>
      </c>
      <c r="B321" s="155" t="s">
        <v>560</v>
      </c>
      <c r="C321" s="175">
        <v>88489.0</v>
      </c>
      <c r="D321" s="154" t="s">
        <v>545</v>
      </c>
      <c r="E321" s="125" t="s">
        <v>58</v>
      </c>
      <c r="F321" s="57">
        <v>4.38</v>
      </c>
      <c r="G321" s="58">
        <v>9.87</v>
      </c>
      <c r="H321" s="58">
        <v>4.4</v>
      </c>
      <c r="I321" s="59">
        <f t="shared" si="178"/>
        <v>14.27</v>
      </c>
      <c r="J321" s="59">
        <f t="shared" si="179"/>
        <v>43.2306</v>
      </c>
      <c r="K321" s="59">
        <f t="shared" si="180"/>
        <v>19.272</v>
      </c>
      <c r="L321" s="59">
        <f t="shared" si="181"/>
        <v>62.5</v>
      </c>
      <c r="M321" s="60">
        <f t="shared" si="182"/>
        <v>78.76</v>
      </c>
      <c r="N321" s="61"/>
      <c r="O321" s="62"/>
      <c r="P321" s="140"/>
      <c r="Q321" s="64"/>
      <c r="R321" s="64"/>
      <c r="S321" s="64"/>
      <c r="T321" s="64"/>
      <c r="U321" s="64"/>
      <c r="V321" s="64"/>
      <c r="W321" s="64"/>
      <c r="X321" s="64"/>
      <c r="Y321" s="64"/>
    </row>
    <row r="322">
      <c r="A322" s="84" t="s">
        <v>563</v>
      </c>
      <c r="B322" s="155" t="s">
        <v>564</v>
      </c>
      <c r="C322" s="175">
        <v>98689.0</v>
      </c>
      <c r="D322" s="154" t="s">
        <v>549</v>
      </c>
      <c r="E322" s="125" t="s">
        <v>51</v>
      </c>
      <c r="F322" s="57">
        <v>1.5</v>
      </c>
      <c r="G322" s="58">
        <v>96.67</v>
      </c>
      <c r="H322" s="58">
        <v>15.21</v>
      </c>
      <c r="I322" s="59">
        <f t="shared" si="178"/>
        <v>111.88</v>
      </c>
      <c r="J322" s="59">
        <f t="shared" si="179"/>
        <v>145.005</v>
      </c>
      <c r="K322" s="59">
        <f t="shared" si="180"/>
        <v>22.815</v>
      </c>
      <c r="L322" s="59">
        <f t="shared" si="181"/>
        <v>167.82</v>
      </c>
      <c r="M322" s="60">
        <f t="shared" si="182"/>
        <v>211.47</v>
      </c>
      <c r="N322" s="61"/>
      <c r="O322" s="62"/>
      <c r="P322" s="140"/>
      <c r="Q322" s="64"/>
      <c r="R322" s="64"/>
      <c r="S322" s="64"/>
      <c r="T322" s="64"/>
      <c r="U322" s="64"/>
      <c r="V322" s="64"/>
      <c r="W322" s="64"/>
      <c r="X322" s="64"/>
      <c r="Y322" s="64"/>
    </row>
    <row r="323">
      <c r="A323" s="84" t="s">
        <v>565</v>
      </c>
      <c r="B323" s="155" t="s">
        <v>566</v>
      </c>
      <c r="C323" s="175">
        <v>91338.0</v>
      </c>
      <c r="D323" s="154" t="s">
        <v>567</v>
      </c>
      <c r="E323" s="125" t="s">
        <v>58</v>
      </c>
      <c r="F323" s="57">
        <v>3.15</v>
      </c>
      <c r="G323" s="58">
        <v>877.03</v>
      </c>
      <c r="H323" s="58">
        <v>9.02</v>
      </c>
      <c r="I323" s="59">
        <f t="shared" si="178"/>
        <v>886.05</v>
      </c>
      <c r="J323" s="59">
        <f t="shared" si="179"/>
        <v>2762.6445</v>
      </c>
      <c r="K323" s="59">
        <f t="shared" si="180"/>
        <v>28.413</v>
      </c>
      <c r="L323" s="59">
        <f t="shared" si="181"/>
        <v>2791.06</v>
      </c>
      <c r="M323" s="60">
        <f t="shared" si="182"/>
        <v>3517.01</v>
      </c>
      <c r="N323" s="61"/>
      <c r="O323" s="62"/>
      <c r="P323" s="140"/>
      <c r="Q323" s="64"/>
      <c r="R323" s="64"/>
      <c r="S323" s="64"/>
      <c r="T323" s="64"/>
      <c r="U323" s="64"/>
      <c r="V323" s="64"/>
      <c r="W323" s="64"/>
      <c r="X323" s="64"/>
      <c r="Y323" s="64"/>
    </row>
    <row r="324">
      <c r="A324" s="84" t="s">
        <v>568</v>
      </c>
      <c r="B324" s="176" t="s">
        <v>569</v>
      </c>
      <c r="C324" s="175" t="s">
        <v>570</v>
      </c>
      <c r="D324" s="163" t="s">
        <v>571</v>
      </c>
      <c r="E324" s="119" t="s">
        <v>572</v>
      </c>
      <c r="F324" s="57">
        <v>1.0</v>
      </c>
      <c r="G324" s="58">
        <f>1098.08-H324</f>
        <v>1093.68</v>
      </c>
      <c r="H324" s="58">
        <v>4.4</v>
      </c>
      <c r="I324" s="59">
        <f t="shared" si="178"/>
        <v>1098.08</v>
      </c>
      <c r="J324" s="59">
        <f t="shared" si="179"/>
        <v>1093.68</v>
      </c>
      <c r="K324" s="59">
        <f t="shared" si="180"/>
        <v>4.4</v>
      </c>
      <c r="L324" s="59">
        <f t="shared" si="181"/>
        <v>1098.08</v>
      </c>
      <c r="M324" s="60">
        <f t="shared" si="182"/>
        <v>1383.69</v>
      </c>
      <c r="N324" s="61"/>
      <c r="O324" s="62"/>
      <c r="P324" s="140"/>
      <c r="Q324" s="64"/>
      <c r="R324" s="64"/>
      <c r="S324" s="64"/>
      <c r="T324" s="64"/>
      <c r="U324" s="64"/>
      <c r="V324" s="64"/>
      <c r="W324" s="64"/>
      <c r="X324" s="64"/>
      <c r="Y324" s="64"/>
    </row>
    <row r="325">
      <c r="A325" s="84" t="s">
        <v>573</v>
      </c>
      <c r="B325" s="155" t="s">
        <v>574</v>
      </c>
      <c r="C325" s="156" t="s">
        <v>575</v>
      </c>
      <c r="D325" s="177" t="s">
        <v>576</v>
      </c>
      <c r="E325" s="120" t="s">
        <v>572</v>
      </c>
      <c r="F325" s="57">
        <v>1.0</v>
      </c>
      <c r="G325" s="99">
        <f>'COMPOSIÇÕES'!I57</f>
        <v>52456.7158</v>
      </c>
      <c r="H325" s="99">
        <f>'COMPOSIÇÕES'!J57</f>
        <v>7222.4232</v>
      </c>
      <c r="I325" s="178">
        <f t="shared" si="178"/>
        <v>59679.139</v>
      </c>
      <c r="J325" s="178">
        <f t="shared" si="179"/>
        <v>52456.7158</v>
      </c>
      <c r="K325" s="178">
        <f t="shared" si="180"/>
        <v>7222.4232</v>
      </c>
      <c r="L325" s="178">
        <f t="shared" si="181"/>
        <v>59679.14</v>
      </c>
      <c r="M325" s="174">
        <f t="shared" si="182"/>
        <v>75201.68</v>
      </c>
      <c r="N325" s="179"/>
      <c r="O325" s="180"/>
      <c r="P325" s="181"/>
      <c r="Q325" s="182"/>
      <c r="R325" s="182"/>
      <c r="S325" s="182"/>
      <c r="T325" s="182"/>
      <c r="U325" s="182"/>
      <c r="V325" s="182"/>
      <c r="W325" s="182"/>
      <c r="X325" s="182"/>
      <c r="Y325" s="182"/>
    </row>
    <row r="326" ht="12.75" customHeight="1">
      <c r="A326" s="44"/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5"/>
      <c r="N326" s="183"/>
      <c r="O326" s="62"/>
      <c r="P326" s="140"/>
      <c r="Q326" s="64"/>
      <c r="R326" s="64"/>
      <c r="S326" s="64"/>
      <c r="T326" s="64"/>
      <c r="U326" s="64"/>
      <c r="V326" s="64"/>
      <c r="W326" s="64"/>
      <c r="X326" s="64"/>
      <c r="Y326" s="64"/>
    </row>
    <row r="327" ht="12.75" customHeight="1">
      <c r="A327" s="112" t="s">
        <v>577</v>
      </c>
      <c r="B327" s="113"/>
      <c r="C327" s="114"/>
      <c r="D327" s="48" t="s">
        <v>578</v>
      </c>
      <c r="E327" s="34"/>
      <c r="F327" s="34"/>
      <c r="G327" s="34"/>
      <c r="H327" s="34"/>
      <c r="I327" s="35"/>
      <c r="J327" s="49">
        <f t="shared" ref="J327:M327" si="183">SUM(J328:J337)</f>
        <v>2496.7035</v>
      </c>
      <c r="K327" s="49">
        <f t="shared" si="183"/>
        <v>851.8515</v>
      </c>
      <c r="L327" s="49">
        <f t="shared" si="183"/>
        <v>3348.57</v>
      </c>
      <c r="M327" s="49">
        <f t="shared" si="183"/>
        <v>4219.53</v>
      </c>
      <c r="N327" s="74">
        <f>M327</f>
        <v>4219.53</v>
      </c>
      <c r="O327" s="62"/>
      <c r="P327" s="140"/>
      <c r="Q327" s="4"/>
      <c r="R327" s="4"/>
      <c r="S327" s="4"/>
      <c r="T327" s="4"/>
      <c r="U327" s="4"/>
      <c r="V327" s="4"/>
      <c r="W327" s="4"/>
      <c r="X327" s="4"/>
      <c r="Y327" s="4"/>
    </row>
    <row r="328">
      <c r="A328" s="93" t="s">
        <v>579</v>
      </c>
      <c r="B328" s="176" t="s">
        <v>580</v>
      </c>
      <c r="C328" s="175" t="s">
        <v>581</v>
      </c>
      <c r="D328" s="184" t="s">
        <v>582</v>
      </c>
      <c r="E328" s="185" t="s">
        <v>58</v>
      </c>
      <c r="F328" s="57">
        <v>22.1</v>
      </c>
      <c r="G328" s="58">
        <v>2.51</v>
      </c>
      <c r="H328" s="58">
        <v>5.93</v>
      </c>
      <c r="I328" s="59">
        <f t="shared" ref="I328:I337" si="184">G328+H328</f>
        <v>8.44</v>
      </c>
      <c r="J328" s="59">
        <f t="shared" ref="J328:J337" si="185">G328*F328</f>
        <v>55.471</v>
      </c>
      <c r="K328" s="59">
        <f t="shared" ref="K328:K337" si="186">H328*F328</f>
        <v>131.053</v>
      </c>
      <c r="L328" s="59">
        <f t="shared" ref="L328:L337" si="187">ROUND(J328+K328,2)</f>
        <v>186.52</v>
      </c>
      <c r="M328" s="60">
        <f t="shared" ref="M328:M337" si="188">ROUND(L328*(1+$M$4),2)</f>
        <v>235.03</v>
      </c>
      <c r="N328" s="61"/>
      <c r="O328" s="62"/>
      <c r="P328" s="140"/>
      <c r="Q328" s="64"/>
      <c r="R328" s="64"/>
      <c r="S328" s="64"/>
      <c r="T328" s="64"/>
      <c r="U328" s="64"/>
      <c r="V328" s="64"/>
      <c r="W328" s="64"/>
      <c r="X328" s="64"/>
      <c r="Y328" s="64"/>
    </row>
    <row r="329">
      <c r="A329" s="93" t="s">
        <v>583</v>
      </c>
      <c r="B329" s="176" t="s">
        <v>584</v>
      </c>
      <c r="C329" s="175" t="s">
        <v>585</v>
      </c>
      <c r="D329" s="184" t="s">
        <v>586</v>
      </c>
      <c r="E329" s="185" t="s">
        <v>58</v>
      </c>
      <c r="F329" s="57">
        <v>22.1</v>
      </c>
      <c r="G329" s="58">
        <v>9.68999999999983</v>
      </c>
      <c r="H329" s="58">
        <v>12.99</v>
      </c>
      <c r="I329" s="59">
        <f t="shared" si="184"/>
        <v>22.68</v>
      </c>
      <c r="J329" s="59">
        <f t="shared" si="185"/>
        <v>214.149</v>
      </c>
      <c r="K329" s="59">
        <f t="shared" si="186"/>
        <v>287.079</v>
      </c>
      <c r="L329" s="59">
        <f t="shared" si="187"/>
        <v>501.23</v>
      </c>
      <c r="M329" s="60">
        <f t="shared" si="188"/>
        <v>631.6</v>
      </c>
      <c r="N329" s="61"/>
      <c r="O329" s="62"/>
      <c r="P329" s="140"/>
      <c r="Q329" s="64"/>
      <c r="R329" s="64"/>
      <c r="S329" s="64"/>
      <c r="T329" s="64"/>
      <c r="U329" s="64"/>
      <c r="V329" s="64"/>
      <c r="W329" s="64"/>
      <c r="X329" s="64"/>
      <c r="Y329" s="64"/>
    </row>
    <row r="330">
      <c r="A330" s="93" t="s">
        <v>587</v>
      </c>
      <c r="B330" s="176" t="s">
        <v>588</v>
      </c>
      <c r="C330" s="125">
        <v>97645.0</v>
      </c>
      <c r="D330" s="184" t="s">
        <v>553</v>
      </c>
      <c r="E330" s="125" t="s">
        <v>58</v>
      </c>
      <c r="F330" s="57">
        <v>3.15</v>
      </c>
      <c r="G330" s="58">
        <v>15.96</v>
      </c>
      <c r="H330" s="58">
        <v>16.35</v>
      </c>
      <c r="I330" s="59">
        <f t="shared" si="184"/>
        <v>32.31</v>
      </c>
      <c r="J330" s="59">
        <f t="shared" si="185"/>
        <v>50.274</v>
      </c>
      <c r="K330" s="59">
        <f t="shared" si="186"/>
        <v>51.5025</v>
      </c>
      <c r="L330" s="59">
        <f t="shared" si="187"/>
        <v>101.78</v>
      </c>
      <c r="M330" s="60">
        <f t="shared" si="188"/>
        <v>128.25</v>
      </c>
      <c r="N330" s="61"/>
      <c r="O330" s="62"/>
      <c r="P330" s="140"/>
      <c r="Q330" s="64"/>
      <c r="R330" s="64"/>
      <c r="S330" s="64"/>
      <c r="T330" s="64"/>
      <c r="U330" s="64"/>
      <c r="V330" s="64"/>
      <c r="W330" s="64"/>
      <c r="X330" s="64"/>
      <c r="Y330" s="64"/>
    </row>
    <row r="331">
      <c r="A331" s="93" t="s">
        <v>589</v>
      </c>
      <c r="B331" s="176" t="s">
        <v>590</v>
      </c>
      <c r="C331" s="125">
        <v>97622.0</v>
      </c>
      <c r="D331" s="184" t="s">
        <v>535</v>
      </c>
      <c r="E331" s="125" t="s">
        <v>43</v>
      </c>
      <c r="F331" s="57">
        <v>0.5</v>
      </c>
      <c r="G331" s="58">
        <v>16.61</v>
      </c>
      <c r="H331" s="58">
        <v>35.08</v>
      </c>
      <c r="I331" s="59">
        <f t="shared" si="184"/>
        <v>51.69</v>
      </c>
      <c r="J331" s="59">
        <f t="shared" si="185"/>
        <v>8.305</v>
      </c>
      <c r="K331" s="59">
        <f t="shared" si="186"/>
        <v>17.54</v>
      </c>
      <c r="L331" s="59">
        <f t="shared" si="187"/>
        <v>25.85</v>
      </c>
      <c r="M331" s="60">
        <f t="shared" si="188"/>
        <v>32.57</v>
      </c>
      <c r="N331" s="61"/>
      <c r="O331" s="62"/>
      <c r="P331" s="140"/>
      <c r="Q331" s="64"/>
      <c r="R331" s="64"/>
      <c r="S331" s="64"/>
      <c r="T331" s="64"/>
      <c r="U331" s="64"/>
      <c r="V331" s="64"/>
      <c r="W331" s="64"/>
      <c r="X331" s="64"/>
      <c r="Y331" s="64"/>
    </row>
    <row r="332">
      <c r="A332" s="93" t="s">
        <v>591</v>
      </c>
      <c r="B332" s="176" t="s">
        <v>592</v>
      </c>
      <c r="C332" s="125">
        <v>103325.0</v>
      </c>
      <c r="D332" s="184" t="s">
        <v>558</v>
      </c>
      <c r="E332" s="125" t="s">
        <v>58</v>
      </c>
      <c r="F332" s="57">
        <v>0.7</v>
      </c>
      <c r="G332" s="58">
        <v>53.31</v>
      </c>
      <c r="H332" s="58">
        <v>23.57</v>
      </c>
      <c r="I332" s="59">
        <f t="shared" si="184"/>
        <v>76.88</v>
      </c>
      <c r="J332" s="59">
        <f t="shared" si="185"/>
        <v>37.317</v>
      </c>
      <c r="K332" s="59">
        <f t="shared" si="186"/>
        <v>16.499</v>
      </c>
      <c r="L332" s="59">
        <f t="shared" si="187"/>
        <v>53.82</v>
      </c>
      <c r="M332" s="60">
        <f t="shared" si="188"/>
        <v>67.82</v>
      </c>
      <c r="N332" s="61"/>
      <c r="O332" s="62"/>
      <c r="P332" s="140"/>
      <c r="Q332" s="64"/>
      <c r="R332" s="64"/>
      <c r="S332" s="64"/>
      <c r="T332" s="64"/>
      <c r="U332" s="64"/>
      <c r="V332" s="64"/>
      <c r="W332" s="64"/>
      <c r="X332" s="64"/>
      <c r="Y332" s="64"/>
    </row>
    <row r="333">
      <c r="A333" s="93" t="s">
        <v>593</v>
      </c>
      <c r="B333" s="176" t="s">
        <v>594</v>
      </c>
      <c r="C333" s="125">
        <v>87879.0</v>
      </c>
      <c r="D333" s="184" t="s">
        <v>539</v>
      </c>
      <c r="E333" s="125" t="s">
        <v>58</v>
      </c>
      <c r="F333" s="57">
        <v>2.65</v>
      </c>
      <c r="G333" s="58">
        <v>2.12</v>
      </c>
      <c r="H333" s="58">
        <v>1.68</v>
      </c>
      <c r="I333" s="59">
        <f t="shared" si="184"/>
        <v>3.8</v>
      </c>
      <c r="J333" s="59">
        <f t="shared" si="185"/>
        <v>5.618</v>
      </c>
      <c r="K333" s="59">
        <f t="shared" si="186"/>
        <v>4.452</v>
      </c>
      <c r="L333" s="59">
        <f t="shared" si="187"/>
        <v>10.07</v>
      </c>
      <c r="M333" s="60">
        <f t="shared" si="188"/>
        <v>12.69</v>
      </c>
      <c r="N333" s="61"/>
      <c r="O333" s="62"/>
      <c r="P333" s="140"/>
      <c r="Q333" s="64"/>
      <c r="R333" s="64"/>
      <c r="S333" s="64"/>
      <c r="T333" s="64"/>
      <c r="U333" s="64"/>
      <c r="V333" s="64"/>
      <c r="W333" s="64"/>
      <c r="X333" s="64"/>
      <c r="Y333" s="64"/>
    </row>
    <row r="334">
      <c r="A334" s="93" t="s">
        <v>595</v>
      </c>
      <c r="B334" s="176" t="s">
        <v>596</v>
      </c>
      <c r="C334" s="125">
        <v>87775.0</v>
      </c>
      <c r="D334" s="184" t="s">
        <v>542</v>
      </c>
      <c r="E334" s="125" t="s">
        <v>58</v>
      </c>
      <c r="F334" s="57">
        <v>2.65</v>
      </c>
      <c r="G334" s="58">
        <v>25.56</v>
      </c>
      <c r="H334" s="58">
        <v>26.96</v>
      </c>
      <c r="I334" s="59">
        <f t="shared" si="184"/>
        <v>52.52</v>
      </c>
      <c r="J334" s="59">
        <f t="shared" si="185"/>
        <v>67.734</v>
      </c>
      <c r="K334" s="59">
        <f t="shared" si="186"/>
        <v>71.444</v>
      </c>
      <c r="L334" s="59">
        <f t="shared" si="187"/>
        <v>139.18</v>
      </c>
      <c r="M334" s="60">
        <f t="shared" si="188"/>
        <v>175.38</v>
      </c>
      <c r="N334" s="61"/>
      <c r="O334" s="62"/>
      <c r="P334" s="140"/>
      <c r="Q334" s="64"/>
      <c r="R334" s="64"/>
      <c r="S334" s="64"/>
      <c r="T334" s="64"/>
      <c r="U334" s="64"/>
      <c r="V334" s="64"/>
      <c r="W334" s="64"/>
      <c r="X334" s="64"/>
      <c r="Y334" s="64"/>
    </row>
    <row r="335">
      <c r="A335" s="93" t="s">
        <v>597</v>
      </c>
      <c r="B335" s="176" t="s">
        <v>598</v>
      </c>
      <c r="C335" s="125">
        <v>88489.0</v>
      </c>
      <c r="D335" s="184" t="s">
        <v>545</v>
      </c>
      <c r="E335" s="125" t="s">
        <v>58</v>
      </c>
      <c r="F335" s="57">
        <v>2.65</v>
      </c>
      <c r="G335" s="58">
        <v>9.87</v>
      </c>
      <c r="H335" s="58">
        <v>4.4</v>
      </c>
      <c r="I335" s="59">
        <f t="shared" si="184"/>
        <v>14.27</v>
      </c>
      <c r="J335" s="59">
        <f t="shared" si="185"/>
        <v>26.1555</v>
      </c>
      <c r="K335" s="59">
        <f t="shared" si="186"/>
        <v>11.66</v>
      </c>
      <c r="L335" s="59">
        <f t="shared" si="187"/>
        <v>37.82</v>
      </c>
      <c r="M335" s="60">
        <f t="shared" si="188"/>
        <v>47.66</v>
      </c>
      <c r="N335" s="61"/>
      <c r="O335" s="62"/>
      <c r="P335" s="140"/>
      <c r="Q335" s="64"/>
      <c r="R335" s="64"/>
      <c r="S335" s="64"/>
      <c r="T335" s="64"/>
      <c r="U335" s="64"/>
      <c r="V335" s="64"/>
      <c r="W335" s="64"/>
      <c r="X335" s="64"/>
      <c r="Y335" s="64"/>
    </row>
    <row r="336">
      <c r="A336" s="93" t="s">
        <v>599</v>
      </c>
      <c r="B336" s="176" t="s">
        <v>600</v>
      </c>
      <c r="C336" s="175" t="s">
        <v>601</v>
      </c>
      <c r="D336" s="184" t="s">
        <v>602</v>
      </c>
      <c r="E336" s="185" t="s">
        <v>416</v>
      </c>
      <c r="F336" s="57">
        <v>4.2</v>
      </c>
      <c r="G336" s="58">
        <v>437.7</v>
      </c>
      <c r="H336" s="58">
        <v>54.81</v>
      </c>
      <c r="I336" s="59">
        <f t="shared" si="184"/>
        <v>492.51</v>
      </c>
      <c r="J336" s="59">
        <f t="shared" si="185"/>
        <v>1838.34</v>
      </c>
      <c r="K336" s="59">
        <f t="shared" si="186"/>
        <v>230.202</v>
      </c>
      <c r="L336" s="59">
        <f t="shared" si="187"/>
        <v>2068.54</v>
      </c>
      <c r="M336" s="60">
        <f t="shared" si="188"/>
        <v>2606.57</v>
      </c>
      <c r="N336" s="61"/>
      <c r="O336" s="62"/>
      <c r="P336" s="140"/>
      <c r="Q336" s="64"/>
      <c r="R336" s="64"/>
      <c r="S336" s="64"/>
      <c r="T336" s="64"/>
      <c r="U336" s="64"/>
      <c r="V336" s="64"/>
      <c r="W336" s="64"/>
      <c r="X336" s="64"/>
      <c r="Y336" s="64"/>
    </row>
    <row r="337">
      <c r="A337" s="93" t="s">
        <v>603</v>
      </c>
      <c r="B337" s="176" t="s">
        <v>564</v>
      </c>
      <c r="C337" s="175" t="s">
        <v>548</v>
      </c>
      <c r="D337" s="184" t="s">
        <v>549</v>
      </c>
      <c r="E337" s="125" t="s">
        <v>51</v>
      </c>
      <c r="F337" s="57">
        <v>2.0</v>
      </c>
      <c r="G337" s="58">
        <v>96.67</v>
      </c>
      <c r="H337" s="58">
        <v>15.21</v>
      </c>
      <c r="I337" s="59">
        <f t="shared" si="184"/>
        <v>111.88</v>
      </c>
      <c r="J337" s="59">
        <f t="shared" si="185"/>
        <v>193.34</v>
      </c>
      <c r="K337" s="59">
        <f t="shared" si="186"/>
        <v>30.42</v>
      </c>
      <c r="L337" s="59">
        <f t="shared" si="187"/>
        <v>223.76</v>
      </c>
      <c r="M337" s="60">
        <f t="shared" si="188"/>
        <v>281.96</v>
      </c>
      <c r="N337" s="61"/>
      <c r="O337" s="62"/>
      <c r="P337" s="140"/>
      <c r="Q337" s="64"/>
      <c r="R337" s="64"/>
      <c r="S337" s="64"/>
      <c r="T337" s="64"/>
      <c r="U337" s="64"/>
      <c r="V337" s="64"/>
      <c r="W337" s="64"/>
      <c r="X337" s="64"/>
      <c r="Y337" s="64"/>
    </row>
    <row r="338" ht="12.75" customHeight="1">
      <c r="A338" s="44"/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5"/>
      <c r="N338" s="74"/>
      <c r="O338" s="62"/>
      <c r="P338" s="140"/>
      <c r="Q338" s="4"/>
      <c r="R338" s="4"/>
      <c r="S338" s="4"/>
      <c r="T338" s="4"/>
      <c r="U338" s="4"/>
      <c r="V338" s="4"/>
      <c r="W338" s="4"/>
      <c r="X338" s="4"/>
      <c r="Y338" s="4"/>
    </row>
    <row r="339" ht="12.75" customHeight="1">
      <c r="A339" s="112" t="s">
        <v>604</v>
      </c>
      <c r="B339" s="113"/>
      <c r="C339" s="114"/>
      <c r="D339" s="48" t="s">
        <v>605</v>
      </c>
      <c r="E339" s="34"/>
      <c r="F339" s="34"/>
      <c r="G339" s="34"/>
      <c r="H339" s="34"/>
      <c r="I339" s="35"/>
      <c r="J339" s="49">
        <f t="shared" ref="J339:M339" si="189">SUM(J340:J352)</f>
        <v>4026.2216</v>
      </c>
      <c r="K339" s="49">
        <f t="shared" si="189"/>
        <v>933.5102</v>
      </c>
      <c r="L339" s="49">
        <f t="shared" si="189"/>
        <v>4959.74</v>
      </c>
      <c r="M339" s="49">
        <f t="shared" si="189"/>
        <v>6249.77</v>
      </c>
      <c r="N339" s="74">
        <f>M339</f>
        <v>6249.77</v>
      </c>
      <c r="O339" s="62"/>
      <c r="P339" s="140"/>
      <c r="Q339" s="4"/>
      <c r="R339" s="4"/>
      <c r="S339" s="4"/>
      <c r="T339" s="4"/>
      <c r="U339" s="4"/>
      <c r="V339" s="4"/>
      <c r="W339" s="4"/>
      <c r="X339" s="4"/>
      <c r="Y339" s="4"/>
    </row>
    <row r="340">
      <c r="A340" s="186" t="s">
        <v>606</v>
      </c>
      <c r="B340" s="187" t="s">
        <v>607</v>
      </c>
      <c r="C340" s="175">
        <v>97644.0</v>
      </c>
      <c r="D340" s="184" t="s">
        <v>608</v>
      </c>
      <c r="E340" s="185" t="s">
        <v>58</v>
      </c>
      <c r="F340" s="57">
        <f>1.68+1.5</f>
        <v>3.18</v>
      </c>
      <c r="G340" s="58">
        <v>2.51</v>
      </c>
      <c r="H340" s="58">
        <v>5.93</v>
      </c>
      <c r="I340" s="59">
        <f t="shared" ref="I340:I352" si="190">G340+H340</f>
        <v>8.44</v>
      </c>
      <c r="J340" s="59">
        <f t="shared" ref="J340:J352" si="191">G340*F340</f>
        <v>7.9818</v>
      </c>
      <c r="K340" s="59">
        <f t="shared" ref="K340:K352" si="192">H340*F340</f>
        <v>18.8574</v>
      </c>
      <c r="L340" s="59">
        <f t="shared" ref="L340:L352" si="193">ROUND(J340+K340,2)</f>
        <v>26.84</v>
      </c>
      <c r="M340" s="60">
        <f t="shared" ref="M340:M352" si="194">ROUND(L340*(1+$M$4),2)</f>
        <v>33.82</v>
      </c>
      <c r="N340" s="3"/>
      <c r="O340" s="62"/>
      <c r="P340" s="140"/>
      <c r="Q340" s="4"/>
      <c r="R340" s="4"/>
      <c r="S340" s="4"/>
      <c r="T340" s="4"/>
      <c r="U340" s="4"/>
      <c r="V340" s="4"/>
      <c r="W340" s="4"/>
      <c r="X340" s="4"/>
      <c r="Y340" s="4"/>
    </row>
    <row r="341">
      <c r="A341" s="186" t="s">
        <v>609</v>
      </c>
      <c r="B341" s="187" t="s">
        <v>610</v>
      </c>
      <c r="C341" s="175">
        <v>97622.0</v>
      </c>
      <c r="D341" s="184" t="s">
        <v>535</v>
      </c>
      <c r="E341" s="185" t="s">
        <v>43</v>
      </c>
      <c r="F341" s="57">
        <v>0.2</v>
      </c>
      <c r="G341" s="58">
        <v>16.61</v>
      </c>
      <c r="H341" s="58">
        <v>35.08</v>
      </c>
      <c r="I341" s="59">
        <f t="shared" si="190"/>
        <v>51.69</v>
      </c>
      <c r="J341" s="59">
        <f t="shared" si="191"/>
        <v>3.322</v>
      </c>
      <c r="K341" s="59">
        <f t="shared" si="192"/>
        <v>7.016</v>
      </c>
      <c r="L341" s="59">
        <f t="shared" si="193"/>
        <v>10.34</v>
      </c>
      <c r="M341" s="60">
        <f t="shared" si="194"/>
        <v>13.03</v>
      </c>
      <c r="N341" s="3"/>
      <c r="O341" s="62"/>
      <c r="P341" s="140"/>
      <c r="Q341" s="4"/>
      <c r="R341" s="4"/>
      <c r="S341" s="4"/>
      <c r="T341" s="4"/>
      <c r="U341" s="4"/>
      <c r="V341" s="4"/>
      <c r="W341" s="4"/>
      <c r="X341" s="4"/>
      <c r="Y341" s="4"/>
    </row>
    <row r="342">
      <c r="A342" s="186" t="s">
        <v>611</v>
      </c>
      <c r="B342" s="187" t="s">
        <v>612</v>
      </c>
      <c r="C342" s="175">
        <v>87879.0</v>
      </c>
      <c r="D342" s="184" t="s">
        <v>539</v>
      </c>
      <c r="E342" s="185" t="s">
        <v>58</v>
      </c>
      <c r="F342" s="57">
        <v>2.0</v>
      </c>
      <c r="G342" s="58">
        <v>2.12</v>
      </c>
      <c r="H342" s="58">
        <v>1.68</v>
      </c>
      <c r="I342" s="59">
        <f t="shared" si="190"/>
        <v>3.8</v>
      </c>
      <c r="J342" s="59">
        <f t="shared" si="191"/>
        <v>4.24</v>
      </c>
      <c r="K342" s="59">
        <f t="shared" si="192"/>
        <v>3.36</v>
      </c>
      <c r="L342" s="59">
        <f t="shared" si="193"/>
        <v>7.6</v>
      </c>
      <c r="M342" s="60">
        <f t="shared" si="194"/>
        <v>9.58</v>
      </c>
      <c r="N342" s="3"/>
      <c r="O342" s="62"/>
      <c r="P342" s="140"/>
      <c r="Q342" s="4"/>
      <c r="R342" s="4"/>
      <c r="S342" s="4"/>
      <c r="T342" s="4"/>
      <c r="U342" s="4"/>
      <c r="V342" s="4"/>
      <c r="W342" s="4"/>
      <c r="X342" s="4"/>
      <c r="Y342" s="4"/>
    </row>
    <row r="343">
      <c r="A343" s="186" t="s">
        <v>613</v>
      </c>
      <c r="B343" s="187" t="s">
        <v>612</v>
      </c>
      <c r="C343" s="175">
        <v>87775.0</v>
      </c>
      <c r="D343" s="184" t="s">
        <v>542</v>
      </c>
      <c r="E343" s="185" t="s">
        <v>58</v>
      </c>
      <c r="F343" s="57">
        <v>2.0</v>
      </c>
      <c r="G343" s="58">
        <v>25.56</v>
      </c>
      <c r="H343" s="58">
        <v>26.96</v>
      </c>
      <c r="I343" s="59">
        <f t="shared" si="190"/>
        <v>52.52</v>
      </c>
      <c r="J343" s="59">
        <f t="shared" si="191"/>
        <v>51.12</v>
      </c>
      <c r="K343" s="59">
        <f t="shared" si="192"/>
        <v>53.92</v>
      </c>
      <c r="L343" s="59">
        <f t="shared" si="193"/>
        <v>105.04</v>
      </c>
      <c r="M343" s="60">
        <f t="shared" si="194"/>
        <v>132.36</v>
      </c>
      <c r="N343" s="3"/>
      <c r="O343" s="62"/>
      <c r="P343" s="140"/>
      <c r="Q343" s="4"/>
      <c r="R343" s="4"/>
      <c r="S343" s="4"/>
      <c r="T343" s="4"/>
      <c r="U343" s="4"/>
      <c r="V343" s="4"/>
      <c r="W343" s="4"/>
      <c r="X343" s="4"/>
      <c r="Y343" s="4"/>
    </row>
    <row r="344">
      <c r="A344" s="186" t="s">
        <v>614</v>
      </c>
      <c r="B344" s="187" t="s">
        <v>615</v>
      </c>
      <c r="C344" s="175">
        <v>88489.0</v>
      </c>
      <c r="D344" s="184" t="s">
        <v>545</v>
      </c>
      <c r="E344" s="185" t="s">
        <v>58</v>
      </c>
      <c r="F344" s="57">
        <v>2.0</v>
      </c>
      <c r="G344" s="58">
        <v>9.87</v>
      </c>
      <c r="H344" s="58">
        <v>4.4</v>
      </c>
      <c r="I344" s="59">
        <f t="shared" si="190"/>
        <v>14.27</v>
      </c>
      <c r="J344" s="59">
        <f t="shared" si="191"/>
        <v>19.74</v>
      </c>
      <c r="K344" s="59">
        <f t="shared" si="192"/>
        <v>8.8</v>
      </c>
      <c r="L344" s="59">
        <f t="shared" si="193"/>
        <v>28.54</v>
      </c>
      <c r="M344" s="60">
        <f t="shared" si="194"/>
        <v>35.96</v>
      </c>
      <c r="N344" s="3"/>
      <c r="O344" s="62"/>
      <c r="P344" s="140"/>
      <c r="Q344" s="4"/>
      <c r="R344" s="4"/>
      <c r="S344" s="4"/>
      <c r="T344" s="4"/>
      <c r="U344" s="4"/>
      <c r="V344" s="4"/>
      <c r="W344" s="4"/>
      <c r="X344" s="4"/>
      <c r="Y344" s="4"/>
    </row>
    <row r="345">
      <c r="A345" s="186" t="s">
        <v>616</v>
      </c>
      <c r="B345" s="187" t="s">
        <v>617</v>
      </c>
      <c r="C345" s="175">
        <v>98689.0</v>
      </c>
      <c r="D345" s="184" t="s">
        <v>549</v>
      </c>
      <c r="E345" s="185" t="s">
        <v>51</v>
      </c>
      <c r="F345" s="57">
        <v>2.0</v>
      </c>
      <c r="G345" s="58">
        <v>96.67</v>
      </c>
      <c r="H345" s="58">
        <v>15.21</v>
      </c>
      <c r="I345" s="59">
        <f t="shared" si="190"/>
        <v>111.88</v>
      </c>
      <c r="J345" s="59">
        <f t="shared" si="191"/>
        <v>193.34</v>
      </c>
      <c r="K345" s="59">
        <f t="shared" si="192"/>
        <v>30.42</v>
      </c>
      <c r="L345" s="59">
        <f t="shared" si="193"/>
        <v>223.76</v>
      </c>
      <c r="M345" s="60">
        <f t="shared" si="194"/>
        <v>281.96</v>
      </c>
      <c r="N345" s="3"/>
      <c r="O345" s="62"/>
      <c r="P345" s="140"/>
      <c r="Q345" s="4"/>
      <c r="R345" s="4"/>
      <c r="S345" s="4"/>
      <c r="T345" s="4"/>
      <c r="U345" s="4"/>
      <c r="V345" s="4"/>
      <c r="W345" s="4"/>
      <c r="X345" s="4"/>
      <c r="Y345" s="4"/>
    </row>
    <row r="346">
      <c r="A346" s="186" t="s">
        <v>618</v>
      </c>
      <c r="B346" s="187" t="s">
        <v>619</v>
      </c>
      <c r="C346" s="175" t="s">
        <v>601</v>
      </c>
      <c r="D346" s="184" t="s">
        <v>602</v>
      </c>
      <c r="E346" s="185" t="s">
        <v>416</v>
      </c>
      <c r="F346" s="57">
        <v>2.1</v>
      </c>
      <c r="G346" s="58">
        <v>437.7</v>
      </c>
      <c r="H346" s="58">
        <v>54.81</v>
      </c>
      <c r="I346" s="59">
        <f t="shared" si="190"/>
        <v>492.51</v>
      </c>
      <c r="J346" s="59">
        <f t="shared" si="191"/>
        <v>919.17</v>
      </c>
      <c r="K346" s="59">
        <f t="shared" si="192"/>
        <v>115.101</v>
      </c>
      <c r="L346" s="59">
        <f t="shared" si="193"/>
        <v>1034.27</v>
      </c>
      <c r="M346" s="60">
        <f t="shared" si="194"/>
        <v>1303.28</v>
      </c>
      <c r="N346" s="3"/>
      <c r="O346" s="62"/>
      <c r="P346" s="140"/>
      <c r="Q346" s="4"/>
      <c r="R346" s="4"/>
      <c r="S346" s="4"/>
      <c r="T346" s="4"/>
      <c r="U346" s="4"/>
      <c r="V346" s="4"/>
      <c r="W346" s="4"/>
      <c r="X346" s="4"/>
      <c r="Y346" s="4"/>
    </row>
    <row r="347">
      <c r="A347" s="186" t="s">
        <v>620</v>
      </c>
      <c r="B347" s="176" t="s">
        <v>621</v>
      </c>
      <c r="C347" s="153" t="s">
        <v>622</v>
      </c>
      <c r="D347" s="184" t="s">
        <v>623</v>
      </c>
      <c r="E347" s="185" t="s">
        <v>15</v>
      </c>
      <c r="F347" s="57">
        <v>1.0</v>
      </c>
      <c r="G347" s="58">
        <v>914.84</v>
      </c>
      <c r="H347" s="58">
        <v>214.25</v>
      </c>
      <c r="I347" s="59">
        <f t="shared" si="190"/>
        <v>1129.09</v>
      </c>
      <c r="J347" s="59">
        <f t="shared" si="191"/>
        <v>914.84</v>
      </c>
      <c r="K347" s="59">
        <f t="shared" si="192"/>
        <v>214.25</v>
      </c>
      <c r="L347" s="59">
        <f t="shared" si="193"/>
        <v>1129.09</v>
      </c>
      <c r="M347" s="60">
        <f t="shared" si="194"/>
        <v>1422.77</v>
      </c>
      <c r="N347" s="61"/>
      <c r="O347" s="62"/>
      <c r="P347" s="140"/>
      <c r="Q347" s="64"/>
      <c r="R347" s="64"/>
      <c r="S347" s="64"/>
      <c r="T347" s="64"/>
      <c r="U347" s="64"/>
      <c r="V347" s="64"/>
      <c r="W347" s="64"/>
      <c r="X347" s="64"/>
      <c r="Y347" s="64"/>
    </row>
    <row r="348">
      <c r="A348" s="186" t="s">
        <v>624</v>
      </c>
      <c r="B348" s="176" t="s">
        <v>625</v>
      </c>
      <c r="C348" s="175" t="s">
        <v>626</v>
      </c>
      <c r="D348" s="184" t="s">
        <v>627</v>
      </c>
      <c r="E348" s="185" t="s">
        <v>58</v>
      </c>
      <c r="F348" s="57">
        <v>4.0</v>
      </c>
      <c r="G348" s="58">
        <v>8.13</v>
      </c>
      <c r="H348" s="58">
        <v>7.11</v>
      </c>
      <c r="I348" s="59">
        <f t="shared" si="190"/>
        <v>15.24</v>
      </c>
      <c r="J348" s="59">
        <f t="shared" si="191"/>
        <v>32.52</v>
      </c>
      <c r="K348" s="59">
        <f t="shared" si="192"/>
        <v>28.44</v>
      </c>
      <c r="L348" s="59">
        <f t="shared" si="193"/>
        <v>60.96</v>
      </c>
      <c r="M348" s="60">
        <f t="shared" si="194"/>
        <v>76.82</v>
      </c>
      <c r="N348" s="61"/>
      <c r="O348" s="62"/>
      <c r="P348" s="140"/>
      <c r="Q348" s="64"/>
      <c r="R348" s="64"/>
      <c r="S348" s="64"/>
      <c r="T348" s="64"/>
      <c r="U348" s="64"/>
      <c r="V348" s="64"/>
      <c r="W348" s="64"/>
      <c r="X348" s="64"/>
      <c r="Y348" s="64"/>
    </row>
    <row r="349">
      <c r="A349" s="186" t="s">
        <v>628</v>
      </c>
      <c r="B349" s="176" t="s">
        <v>629</v>
      </c>
      <c r="C349" s="175" t="s">
        <v>630</v>
      </c>
      <c r="D349" s="184" t="s">
        <v>631</v>
      </c>
      <c r="E349" s="185" t="s">
        <v>58</v>
      </c>
      <c r="F349" s="57">
        <v>10.67</v>
      </c>
      <c r="G349" s="58">
        <v>2.14</v>
      </c>
      <c r="H349" s="58">
        <v>5.2</v>
      </c>
      <c r="I349" s="59">
        <f t="shared" si="190"/>
        <v>7.34</v>
      </c>
      <c r="J349" s="59">
        <f t="shared" si="191"/>
        <v>22.8338</v>
      </c>
      <c r="K349" s="59">
        <f t="shared" si="192"/>
        <v>55.484</v>
      </c>
      <c r="L349" s="59">
        <f t="shared" si="193"/>
        <v>78.32</v>
      </c>
      <c r="M349" s="60">
        <f t="shared" si="194"/>
        <v>98.69</v>
      </c>
      <c r="N349" s="61"/>
      <c r="O349" s="62"/>
      <c r="P349" s="140"/>
      <c r="Q349" s="64"/>
      <c r="R349" s="64"/>
      <c r="S349" s="64"/>
      <c r="T349" s="64"/>
      <c r="U349" s="64"/>
      <c r="V349" s="64"/>
      <c r="W349" s="64"/>
      <c r="X349" s="64"/>
      <c r="Y349" s="64"/>
    </row>
    <row r="350">
      <c r="A350" s="186" t="s">
        <v>632</v>
      </c>
      <c r="B350" s="176" t="s">
        <v>633</v>
      </c>
      <c r="C350" s="175" t="s">
        <v>634</v>
      </c>
      <c r="D350" s="184" t="s">
        <v>635</v>
      </c>
      <c r="E350" s="185" t="s">
        <v>58</v>
      </c>
      <c r="F350" s="57">
        <v>10.67</v>
      </c>
      <c r="G350" s="58">
        <v>0.0</v>
      </c>
      <c r="H350" s="58">
        <v>11.34</v>
      </c>
      <c r="I350" s="59">
        <f t="shared" si="190"/>
        <v>11.34</v>
      </c>
      <c r="J350" s="59">
        <f t="shared" si="191"/>
        <v>0</v>
      </c>
      <c r="K350" s="59">
        <f t="shared" si="192"/>
        <v>120.9978</v>
      </c>
      <c r="L350" s="59">
        <f t="shared" si="193"/>
        <v>121</v>
      </c>
      <c r="M350" s="60">
        <f t="shared" si="194"/>
        <v>152.47</v>
      </c>
      <c r="N350" s="61"/>
      <c r="O350" s="62"/>
      <c r="P350" s="140"/>
      <c r="Q350" s="64"/>
      <c r="R350" s="64"/>
      <c r="S350" s="64"/>
      <c r="T350" s="64"/>
      <c r="U350" s="64"/>
      <c r="V350" s="64"/>
      <c r="W350" s="64"/>
      <c r="X350" s="64"/>
      <c r="Y350" s="64"/>
    </row>
    <row r="351">
      <c r="A351" s="186" t="s">
        <v>636</v>
      </c>
      <c r="B351" s="176" t="s">
        <v>637</v>
      </c>
      <c r="C351" s="175">
        <v>102192.0</v>
      </c>
      <c r="D351" s="184" t="s">
        <v>638</v>
      </c>
      <c r="E351" s="185" t="s">
        <v>58</v>
      </c>
      <c r="F351" s="57">
        <v>4.2</v>
      </c>
      <c r="G351" s="58">
        <v>4.47</v>
      </c>
      <c r="H351" s="58">
        <v>11.11</v>
      </c>
      <c r="I351" s="59">
        <f t="shared" si="190"/>
        <v>15.58</v>
      </c>
      <c r="J351" s="59">
        <f t="shared" si="191"/>
        <v>18.774</v>
      </c>
      <c r="K351" s="59">
        <f t="shared" si="192"/>
        <v>46.662</v>
      </c>
      <c r="L351" s="59">
        <f t="shared" si="193"/>
        <v>65.44</v>
      </c>
      <c r="M351" s="60">
        <f t="shared" si="194"/>
        <v>82.46</v>
      </c>
      <c r="N351" s="61"/>
      <c r="O351" s="62"/>
      <c r="P351" s="140"/>
      <c r="Q351" s="64"/>
      <c r="R351" s="64"/>
      <c r="S351" s="64"/>
      <c r="T351" s="64"/>
      <c r="U351" s="64"/>
      <c r="V351" s="64"/>
      <c r="W351" s="64"/>
      <c r="X351" s="64"/>
      <c r="Y351" s="64"/>
    </row>
    <row r="352">
      <c r="A352" s="186" t="s">
        <v>639</v>
      </c>
      <c r="B352" s="176" t="s">
        <v>640</v>
      </c>
      <c r="C352" s="175" t="s">
        <v>601</v>
      </c>
      <c r="D352" s="184" t="s">
        <v>602</v>
      </c>
      <c r="E352" s="185" t="s">
        <v>416</v>
      </c>
      <c r="F352" s="57">
        <v>4.2</v>
      </c>
      <c r="G352" s="58">
        <v>437.7</v>
      </c>
      <c r="H352" s="58">
        <v>54.81</v>
      </c>
      <c r="I352" s="59">
        <f t="shared" si="190"/>
        <v>492.51</v>
      </c>
      <c r="J352" s="59">
        <f t="shared" si="191"/>
        <v>1838.34</v>
      </c>
      <c r="K352" s="59">
        <f t="shared" si="192"/>
        <v>230.202</v>
      </c>
      <c r="L352" s="59">
        <f t="shared" si="193"/>
        <v>2068.54</v>
      </c>
      <c r="M352" s="60">
        <f t="shared" si="194"/>
        <v>2606.57</v>
      </c>
      <c r="N352" s="61"/>
      <c r="O352" s="62"/>
      <c r="P352" s="140"/>
      <c r="Q352" s="64"/>
      <c r="R352" s="64"/>
      <c r="S352" s="64"/>
      <c r="T352" s="64"/>
      <c r="U352" s="64"/>
      <c r="V352" s="64"/>
      <c r="W352" s="64"/>
      <c r="X352" s="64"/>
      <c r="Y352" s="64"/>
    </row>
    <row r="353" ht="12.75" customHeight="1">
      <c r="A353" s="44"/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5"/>
      <c r="N353" s="74"/>
      <c r="O353" s="62"/>
      <c r="P353" s="140"/>
      <c r="Q353" s="4"/>
      <c r="R353" s="4"/>
      <c r="S353" s="4"/>
      <c r="T353" s="4"/>
      <c r="U353" s="4"/>
      <c r="V353" s="4"/>
      <c r="W353" s="4"/>
      <c r="X353" s="4"/>
      <c r="Y353" s="4"/>
    </row>
    <row r="354" ht="12.75" customHeight="1">
      <c r="A354" s="112" t="s">
        <v>641</v>
      </c>
      <c r="B354" s="113"/>
      <c r="C354" s="114"/>
      <c r="D354" s="48" t="s">
        <v>642</v>
      </c>
      <c r="E354" s="34"/>
      <c r="F354" s="34"/>
      <c r="G354" s="34"/>
      <c r="H354" s="34"/>
      <c r="I354" s="35"/>
      <c r="J354" s="49">
        <f t="shared" ref="J354:M354" si="195">SUM(J355:J362)</f>
        <v>1239.842</v>
      </c>
      <c r="K354" s="49">
        <f t="shared" si="195"/>
        <v>311.3245</v>
      </c>
      <c r="L354" s="49">
        <f t="shared" si="195"/>
        <v>1551.16</v>
      </c>
      <c r="M354" s="49">
        <f t="shared" si="195"/>
        <v>1954.61</v>
      </c>
      <c r="N354" s="74">
        <f>M354</f>
        <v>1954.61</v>
      </c>
      <c r="O354" s="62"/>
      <c r="P354" s="140"/>
      <c r="Q354" s="4"/>
      <c r="R354" s="4"/>
      <c r="S354" s="4"/>
      <c r="T354" s="4"/>
      <c r="U354" s="4"/>
      <c r="V354" s="4"/>
      <c r="W354" s="4"/>
      <c r="X354" s="4"/>
      <c r="Y354" s="4"/>
    </row>
    <row r="355">
      <c r="A355" s="122" t="s">
        <v>643</v>
      </c>
      <c r="B355" s="187" t="s">
        <v>644</v>
      </c>
      <c r="C355" s="175">
        <v>97645.0</v>
      </c>
      <c r="D355" s="184" t="s">
        <v>553</v>
      </c>
      <c r="E355" s="185" t="s">
        <v>58</v>
      </c>
      <c r="F355" s="57">
        <v>2.0</v>
      </c>
      <c r="G355" s="58">
        <v>15.96</v>
      </c>
      <c r="H355" s="58">
        <v>16.35</v>
      </c>
      <c r="I355" s="59">
        <f t="shared" ref="I355:I362" si="196">G355+H355</f>
        <v>32.31</v>
      </c>
      <c r="J355" s="59">
        <f t="shared" ref="J355:J362" si="197">G355*F355</f>
        <v>31.92</v>
      </c>
      <c r="K355" s="59">
        <f t="shared" ref="K355:K362" si="198">H355*F355</f>
        <v>32.7</v>
      </c>
      <c r="L355" s="59">
        <f t="shared" ref="L355:L362" si="199">ROUND(J355+K355,2)</f>
        <v>64.62</v>
      </c>
      <c r="M355" s="60">
        <f t="shared" ref="M355:M362" si="200">ROUND(L355*(1+$M$4),2)</f>
        <v>81.43</v>
      </c>
      <c r="N355" s="3"/>
      <c r="O355" s="62"/>
      <c r="P355" s="140"/>
      <c r="Q355" s="4"/>
      <c r="R355" s="4"/>
      <c r="S355" s="4"/>
      <c r="T355" s="4"/>
      <c r="U355" s="4"/>
      <c r="V355" s="4"/>
      <c r="W355" s="4"/>
      <c r="X355" s="4"/>
      <c r="Y355" s="4"/>
    </row>
    <row r="356">
      <c r="A356" s="122" t="s">
        <v>645</v>
      </c>
      <c r="B356" s="187" t="s">
        <v>646</v>
      </c>
      <c r="C356" s="175">
        <v>97622.0</v>
      </c>
      <c r="D356" s="184" t="s">
        <v>535</v>
      </c>
      <c r="E356" s="185" t="s">
        <v>43</v>
      </c>
      <c r="F356" s="57">
        <v>0.3</v>
      </c>
      <c r="G356" s="58">
        <v>16.61</v>
      </c>
      <c r="H356" s="58">
        <v>35.08</v>
      </c>
      <c r="I356" s="59">
        <f t="shared" si="196"/>
        <v>51.69</v>
      </c>
      <c r="J356" s="59">
        <f t="shared" si="197"/>
        <v>4.983</v>
      </c>
      <c r="K356" s="59">
        <f t="shared" si="198"/>
        <v>10.524</v>
      </c>
      <c r="L356" s="59">
        <f t="shared" si="199"/>
        <v>15.51</v>
      </c>
      <c r="M356" s="60">
        <f t="shared" si="200"/>
        <v>19.54</v>
      </c>
      <c r="N356" s="3"/>
      <c r="O356" s="62"/>
      <c r="P356" s="140"/>
      <c r="Q356" s="4"/>
      <c r="R356" s="4"/>
      <c r="S356" s="4"/>
      <c r="T356" s="4"/>
      <c r="U356" s="4"/>
      <c r="V356" s="4"/>
      <c r="W356" s="4"/>
      <c r="X356" s="4"/>
      <c r="Y356" s="4"/>
    </row>
    <row r="357">
      <c r="A357" s="122" t="s">
        <v>647</v>
      </c>
      <c r="B357" s="187" t="s">
        <v>648</v>
      </c>
      <c r="C357" s="175">
        <v>103325.0</v>
      </c>
      <c r="D357" s="184" t="s">
        <v>558</v>
      </c>
      <c r="E357" s="185" t="s">
        <v>58</v>
      </c>
      <c r="F357" s="57">
        <v>1.15</v>
      </c>
      <c r="G357" s="58">
        <v>53.31</v>
      </c>
      <c r="H357" s="58">
        <v>23.57</v>
      </c>
      <c r="I357" s="59">
        <f t="shared" si="196"/>
        <v>76.88</v>
      </c>
      <c r="J357" s="59">
        <f t="shared" si="197"/>
        <v>61.3065</v>
      </c>
      <c r="K357" s="59">
        <f t="shared" si="198"/>
        <v>27.1055</v>
      </c>
      <c r="L357" s="59">
        <f t="shared" si="199"/>
        <v>88.41</v>
      </c>
      <c r="M357" s="60">
        <f t="shared" si="200"/>
        <v>111.41</v>
      </c>
      <c r="N357" s="3"/>
      <c r="O357" s="62"/>
      <c r="P357" s="140"/>
      <c r="Q357" s="4"/>
      <c r="R357" s="4"/>
      <c r="S357" s="4"/>
      <c r="T357" s="4"/>
      <c r="U357" s="4"/>
      <c r="V357" s="4"/>
      <c r="W357" s="4"/>
      <c r="X357" s="4"/>
      <c r="Y357" s="4"/>
    </row>
    <row r="358">
      <c r="A358" s="122" t="s">
        <v>649</v>
      </c>
      <c r="B358" s="187" t="s">
        <v>650</v>
      </c>
      <c r="C358" s="175">
        <v>87879.0</v>
      </c>
      <c r="D358" s="184" t="s">
        <v>539</v>
      </c>
      <c r="E358" s="185" t="s">
        <v>58</v>
      </c>
      <c r="F358" s="57">
        <v>3.35</v>
      </c>
      <c r="G358" s="58">
        <v>2.12</v>
      </c>
      <c r="H358" s="58">
        <v>1.68</v>
      </c>
      <c r="I358" s="59">
        <f t="shared" si="196"/>
        <v>3.8</v>
      </c>
      <c r="J358" s="59">
        <f t="shared" si="197"/>
        <v>7.102</v>
      </c>
      <c r="K358" s="59">
        <f t="shared" si="198"/>
        <v>5.628</v>
      </c>
      <c r="L358" s="59">
        <f t="shared" si="199"/>
        <v>12.73</v>
      </c>
      <c r="M358" s="60">
        <f t="shared" si="200"/>
        <v>16.04</v>
      </c>
      <c r="N358" s="3"/>
      <c r="O358" s="62"/>
      <c r="P358" s="140"/>
      <c r="Q358" s="4"/>
      <c r="R358" s="4"/>
      <c r="S358" s="4"/>
      <c r="T358" s="4"/>
      <c r="U358" s="4"/>
      <c r="V358" s="4"/>
      <c r="W358" s="4"/>
      <c r="X358" s="4"/>
      <c r="Y358" s="4"/>
    </row>
    <row r="359">
      <c r="A359" s="122" t="s">
        <v>651</v>
      </c>
      <c r="B359" s="187" t="s">
        <v>652</v>
      </c>
      <c r="C359" s="175">
        <v>87775.0</v>
      </c>
      <c r="D359" s="184" t="s">
        <v>542</v>
      </c>
      <c r="E359" s="185" t="s">
        <v>58</v>
      </c>
      <c r="F359" s="57">
        <v>3.35</v>
      </c>
      <c r="G359" s="58">
        <v>25.56</v>
      </c>
      <c r="H359" s="58">
        <v>26.96</v>
      </c>
      <c r="I359" s="59">
        <f t="shared" si="196"/>
        <v>52.52</v>
      </c>
      <c r="J359" s="59">
        <f t="shared" si="197"/>
        <v>85.626</v>
      </c>
      <c r="K359" s="59">
        <f t="shared" si="198"/>
        <v>90.316</v>
      </c>
      <c r="L359" s="59">
        <f t="shared" si="199"/>
        <v>175.94</v>
      </c>
      <c r="M359" s="60">
        <f t="shared" si="200"/>
        <v>221.7</v>
      </c>
      <c r="N359" s="3"/>
      <c r="O359" s="62"/>
      <c r="P359" s="140"/>
      <c r="Q359" s="4"/>
      <c r="R359" s="4"/>
      <c r="S359" s="4"/>
      <c r="T359" s="4"/>
      <c r="U359" s="4"/>
      <c r="V359" s="4"/>
      <c r="W359" s="4"/>
      <c r="X359" s="4"/>
      <c r="Y359" s="4"/>
    </row>
    <row r="360">
      <c r="A360" s="122" t="s">
        <v>653</v>
      </c>
      <c r="B360" s="187" t="s">
        <v>654</v>
      </c>
      <c r="C360" s="175">
        <v>88489.0</v>
      </c>
      <c r="D360" s="184" t="s">
        <v>545</v>
      </c>
      <c r="E360" s="185" t="s">
        <v>58</v>
      </c>
      <c r="F360" s="57">
        <v>3.35</v>
      </c>
      <c r="G360" s="58">
        <v>9.87</v>
      </c>
      <c r="H360" s="58">
        <v>4.4</v>
      </c>
      <c r="I360" s="59">
        <f t="shared" si="196"/>
        <v>14.27</v>
      </c>
      <c r="J360" s="59">
        <f t="shared" si="197"/>
        <v>33.0645</v>
      </c>
      <c r="K360" s="59">
        <f t="shared" si="198"/>
        <v>14.74</v>
      </c>
      <c r="L360" s="59">
        <f t="shared" si="199"/>
        <v>47.8</v>
      </c>
      <c r="M360" s="60">
        <f t="shared" si="200"/>
        <v>60.23</v>
      </c>
      <c r="N360" s="3"/>
      <c r="O360" s="62"/>
      <c r="P360" s="140"/>
      <c r="Q360" s="4"/>
      <c r="R360" s="4"/>
      <c r="S360" s="4"/>
      <c r="T360" s="4"/>
      <c r="U360" s="4"/>
      <c r="V360" s="4"/>
      <c r="W360" s="4"/>
      <c r="X360" s="4"/>
      <c r="Y360" s="4"/>
    </row>
    <row r="361">
      <c r="A361" s="122" t="s">
        <v>655</v>
      </c>
      <c r="B361" s="187" t="s">
        <v>656</v>
      </c>
      <c r="C361" s="175" t="s">
        <v>601</v>
      </c>
      <c r="D361" s="184" t="s">
        <v>602</v>
      </c>
      <c r="E361" s="185" t="s">
        <v>416</v>
      </c>
      <c r="F361" s="57">
        <v>2.1</v>
      </c>
      <c r="G361" s="58">
        <v>437.7</v>
      </c>
      <c r="H361" s="58">
        <v>54.81</v>
      </c>
      <c r="I361" s="59">
        <f t="shared" si="196"/>
        <v>492.51</v>
      </c>
      <c r="J361" s="59">
        <f t="shared" si="197"/>
        <v>919.17</v>
      </c>
      <c r="K361" s="59">
        <f t="shared" si="198"/>
        <v>115.101</v>
      </c>
      <c r="L361" s="59">
        <f t="shared" si="199"/>
        <v>1034.27</v>
      </c>
      <c r="M361" s="60">
        <f t="shared" si="200"/>
        <v>1303.28</v>
      </c>
      <c r="N361" s="3"/>
      <c r="O361" s="62"/>
      <c r="P361" s="140"/>
      <c r="Q361" s="4"/>
      <c r="R361" s="4"/>
      <c r="S361" s="4"/>
      <c r="T361" s="4"/>
      <c r="U361" s="4"/>
      <c r="V361" s="4"/>
      <c r="W361" s="4"/>
      <c r="X361" s="4"/>
      <c r="Y361" s="4"/>
    </row>
    <row r="362">
      <c r="A362" s="122" t="s">
        <v>657</v>
      </c>
      <c r="B362" s="187" t="s">
        <v>658</v>
      </c>
      <c r="C362" s="175">
        <v>98689.0</v>
      </c>
      <c r="D362" s="184" t="s">
        <v>549</v>
      </c>
      <c r="E362" s="185" t="s">
        <v>51</v>
      </c>
      <c r="F362" s="57">
        <v>1.0</v>
      </c>
      <c r="G362" s="58">
        <v>96.67</v>
      </c>
      <c r="H362" s="58">
        <v>15.21</v>
      </c>
      <c r="I362" s="59">
        <f t="shared" si="196"/>
        <v>111.88</v>
      </c>
      <c r="J362" s="59">
        <f t="shared" si="197"/>
        <v>96.67</v>
      </c>
      <c r="K362" s="59">
        <f t="shared" si="198"/>
        <v>15.21</v>
      </c>
      <c r="L362" s="59">
        <f t="shared" si="199"/>
        <v>111.88</v>
      </c>
      <c r="M362" s="60">
        <f t="shared" si="200"/>
        <v>140.98</v>
      </c>
      <c r="N362" s="3"/>
      <c r="O362" s="62"/>
      <c r="P362" s="140"/>
      <c r="Q362" s="4"/>
      <c r="R362" s="4"/>
      <c r="S362" s="4"/>
      <c r="T362" s="4"/>
      <c r="U362" s="4"/>
      <c r="V362" s="4"/>
      <c r="W362" s="4"/>
      <c r="X362" s="4"/>
      <c r="Y362" s="4"/>
    </row>
    <row r="363" ht="12.75" customHeight="1">
      <c r="A363" s="44"/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5"/>
      <c r="N363" s="74"/>
      <c r="O363" s="62"/>
      <c r="P363" s="140"/>
      <c r="Q363" s="4"/>
      <c r="R363" s="4"/>
      <c r="S363" s="4"/>
      <c r="T363" s="4"/>
      <c r="U363" s="4"/>
      <c r="V363" s="4"/>
      <c r="W363" s="4"/>
      <c r="X363" s="4"/>
      <c r="Y363" s="4"/>
    </row>
    <row r="364" ht="12.75" customHeight="1">
      <c r="A364" s="112" t="s">
        <v>659</v>
      </c>
      <c r="B364" s="113"/>
      <c r="C364" s="114"/>
      <c r="D364" s="48" t="s">
        <v>660</v>
      </c>
      <c r="E364" s="34"/>
      <c r="F364" s="34"/>
      <c r="G364" s="34"/>
      <c r="H364" s="34"/>
      <c r="I364" s="35"/>
      <c r="J364" s="49">
        <f t="shared" ref="J364:M364" si="201">SUM(J365:J367)</f>
        <v>2854.52</v>
      </c>
      <c r="K364" s="49">
        <f t="shared" si="201"/>
        <v>247.36</v>
      </c>
      <c r="L364" s="49">
        <f t="shared" si="201"/>
        <v>3101.88</v>
      </c>
      <c r="M364" s="49">
        <f t="shared" si="201"/>
        <v>3908.68</v>
      </c>
      <c r="N364" s="74">
        <f>M364</f>
        <v>3908.68</v>
      </c>
      <c r="O364" s="62"/>
      <c r="P364" s="140"/>
      <c r="Q364" s="4"/>
      <c r="R364" s="4"/>
      <c r="S364" s="4"/>
      <c r="T364" s="4"/>
      <c r="U364" s="4"/>
      <c r="V364" s="4"/>
      <c r="W364" s="4"/>
      <c r="X364" s="4"/>
      <c r="Y364" s="4"/>
    </row>
    <row r="365">
      <c r="A365" s="122" t="s">
        <v>661</v>
      </c>
      <c r="B365" s="187" t="s">
        <v>662</v>
      </c>
      <c r="C365" s="175" t="s">
        <v>663</v>
      </c>
      <c r="D365" s="188" t="s">
        <v>608</v>
      </c>
      <c r="E365" s="185" t="s">
        <v>58</v>
      </c>
      <c r="F365" s="57">
        <v>4.0</v>
      </c>
      <c r="G365" s="58">
        <v>2.51</v>
      </c>
      <c r="H365" s="58">
        <v>5.93</v>
      </c>
      <c r="I365" s="59">
        <f t="shared" ref="I365:I367" si="202">G365+H365</f>
        <v>8.44</v>
      </c>
      <c r="J365" s="59">
        <f t="shared" ref="J365:J367" si="203">G365*F365</f>
        <v>10.04</v>
      </c>
      <c r="K365" s="59">
        <f t="shared" ref="K365:K367" si="204">H365*F365</f>
        <v>23.72</v>
      </c>
      <c r="L365" s="59">
        <f t="shared" ref="L365:L367" si="205">ROUND(J365+K365,2)</f>
        <v>33.76</v>
      </c>
      <c r="M365" s="60">
        <f t="shared" ref="M365:M367" si="206">ROUND(L365*(1+$M$4),2)</f>
        <v>42.54</v>
      </c>
      <c r="N365" s="3"/>
      <c r="O365" s="62"/>
      <c r="P365" s="140"/>
      <c r="Q365" s="4"/>
      <c r="R365" s="4"/>
      <c r="S365" s="4"/>
      <c r="T365" s="4"/>
      <c r="U365" s="4"/>
      <c r="V365" s="4"/>
      <c r="W365" s="4"/>
      <c r="X365" s="4"/>
      <c r="Y365" s="4"/>
    </row>
    <row r="366">
      <c r="A366" s="122" t="s">
        <v>664</v>
      </c>
      <c r="B366" s="187" t="s">
        <v>665</v>
      </c>
      <c r="C366" s="175" t="s">
        <v>601</v>
      </c>
      <c r="D366" s="184" t="s">
        <v>666</v>
      </c>
      <c r="E366" s="185" t="s">
        <v>416</v>
      </c>
      <c r="F366" s="57">
        <f>4</f>
        <v>4</v>
      </c>
      <c r="G366" s="58">
        <v>437.7</v>
      </c>
      <c r="H366" s="58">
        <v>54.81</v>
      </c>
      <c r="I366" s="59">
        <f t="shared" si="202"/>
        <v>492.51</v>
      </c>
      <c r="J366" s="59">
        <f t="shared" si="203"/>
        <v>1750.8</v>
      </c>
      <c r="K366" s="59">
        <f t="shared" si="204"/>
        <v>219.24</v>
      </c>
      <c r="L366" s="59">
        <f t="shared" si="205"/>
        <v>1970.04</v>
      </c>
      <c r="M366" s="60">
        <f t="shared" si="206"/>
        <v>2482.45</v>
      </c>
      <c r="N366" s="3"/>
      <c r="O366" s="62"/>
      <c r="P366" s="140"/>
      <c r="Q366" s="4"/>
      <c r="R366" s="4"/>
      <c r="S366" s="4"/>
      <c r="T366" s="4"/>
      <c r="U366" s="4"/>
      <c r="V366" s="4"/>
      <c r="W366" s="4"/>
      <c r="X366" s="4"/>
      <c r="Y366" s="4"/>
    </row>
    <row r="367">
      <c r="A367" s="122" t="s">
        <v>667</v>
      </c>
      <c r="B367" s="187" t="s">
        <v>668</v>
      </c>
      <c r="C367" s="175" t="s">
        <v>570</v>
      </c>
      <c r="D367" s="184" t="s">
        <v>669</v>
      </c>
      <c r="E367" s="185" t="s">
        <v>572</v>
      </c>
      <c r="F367" s="57">
        <v>1.0</v>
      </c>
      <c r="G367" s="58">
        <f>1098.08-H367</f>
        <v>1093.68</v>
      </c>
      <c r="H367" s="58">
        <v>4.4</v>
      </c>
      <c r="I367" s="59">
        <f t="shared" si="202"/>
        <v>1098.08</v>
      </c>
      <c r="J367" s="59">
        <f t="shared" si="203"/>
        <v>1093.68</v>
      </c>
      <c r="K367" s="59">
        <f t="shared" si="204"/>
        <v>4.4</v>
      </c>
      <c r="L367" s="59">
        <f t="shared" si="205"/>
        <v>1098.08</v>
      </c>
      <c r="M367" s="60">
        <f t="shared" si="206"/>
        <v>1383.69</v>
      </c>
      <c r="N367" s="3"/>
      <c r="O367" s="62"/>
      <c r="P367" s="140"/>
      <c r="Q367" s="4"/>
      <c r="R367" s="4"/>
      <c r="S367" s="4"/>
      <c r="T367" s="4"/>
      <c r="U367" s="4"/>
      <c r="V367" s="4"/>
      <c r="W367" s="4"/>
      <c r="X367" s="4"/>
      <c r="Y367" s="4"/>
    </row>
    <row r="368" ht="12.75" customHeight="1">
      <c r="A368" s="44"/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5"/>
      <c r="N368" s="74"/>
      <c r="O368" s="62"/>
      <c r="P368" s="140"/>
      <c r="Q368" s="4"/>
      <c r="R368" s="4"/>
      <c r="S368" s="4"/>
      <c r="T368" s="4"/>
      <c r="U368" s="4"/>
      <c r="V368" s="4"/>
      <c r="W368" s="4"/>
      <c r="X368" s="4"/>
      <c r="Y368" s="4"/>
    </row>
    <row r="369" ht="12.75" customHeight="1">
      <c r="A369" s="112" t="s">
        <v>670</v>
      </c>
      <c r="B369" s="113"/>
      <c r="C369" s="114"/>
      <c r="D369" s="48" t="s">
        <v>671</v>
      </c>
      <c r="E369" s="34"/>
      <c r="F369" s="34"/>
      <c r="G369" s="34"/>
      <c r="H369" s="34"/>
      <c r="I369" s="35"/>
      <c r="J369" s="49">
        <f t="shared" ref="J369:M369" si="207">SUM(J370:J375)</f>
        <v>2887.301</v>
      </c>
      <c r="K369" s="49">
        <f t="shared" si="207"/>
        <v>269.133</v>
      </c>
      <c r="L369" s="49">
        <f t="shared" si="207"/>
        <v>3156.43</v>
      </c>
      <c r="M369" s="49">
        <f t="shared" si="207"/>
        <v>3977.42</v>
      </c>
      <c r="N369" s="74">
        <f>M369</f>
        <v>3977.42</v>
      </c>
      <c r="O369" s="62"/>
      <c r="P369" s="140"/>
      <c r="Q369" s="4"/>
      <c r="R369" s="4"/>
      <c r="S369" s="4"/>
      <c r="T369" s="4"/>
      <c r="U369" s="4"/>
      <c r="V369" s="4"/>
      <c r="W369" s="4"/>
      <c r="X369" s="4"/>
      <c r="Y369" s="4"/>
    </row>
    <row r="370">
      <c r="A370" s="122" t="s">
        <v>672</v>
      </c>
      <c r="B370" s="176" t="s">
        <v>673</v>
      </c>
      <c r="C370" s="175" t="s">
        <v>663</v>
      </c>
      <c r="D370" s="184" t="s">
        <v>608</v>
      </c>
      <c r="E370" s="185" t="s">
        <v>58</v>
      </c>
      <c r="F370" s="57">
        <v>2.1</v>
      </c>
      <c r="G370" s="58">
        <v>2.51</v>
      </c>
      <c r="H370" s="58">
        <v>5.93</v>
      </c>
      <c r="I370" s="59">
        <f t="shared" ref="I370:I375" si="208">G370+H370</f>
        <v>8.44</v>
      </c>
      <c r="J370" s="59">
        <f t="shared" ref="J370:J375" si="209">G370*F370</f>
        <v>5.271</v>
      </c>
      <c r="K370" s="59">
        <f t="shared" ref="K370:K375" si="210">H370*F370</f>
        <v>12.453</v>
      </c>
      <c r="L370" s="59">
        <f t="shared" ref="L370:L375" si="211">ROUND(J370+K370,2)</f>
        <v>17.72</v>
      </c>
      <c r="M370" s="60">
        <f t="shared" ref="M370:M375" si="212">ROUND(L370*(1+$M$4),2)</f>
        <v>22.33</v>
      </c>
      <c r="N370" s="61"/>
      <c r="O370" s="62"/>
      <c r="P370" s="140"/>
      <c r="Q370" s="64"/>
      <c r="R370" s="64"/>
      <c r="S370" s="64"/>
      <c r="T370" s="64"/>
      <c r="U370" s="64"/>
      <c r="V370" s="64"/>
      <c r="W370" s="64"/>
      <c r="X370" s="64"/>
      <c r="Y370" s="64"/>
    </row>
    <row r="371">
      <c r="A371" s="122" t="s">
        <v>674</v>
      </c>
      <c r="B371" s="176" t="s">
        <v>675</v>
      </c>
      <c r="C371" s="175" t="s">
        <v>538</v>
      </c>
      <c r="D371" s="184" t="s">
        <v>676</v>
      </c>
      <c r="E371" s="185" t="s">
        <v>58</v>
      </c>
      <c r="F371" s="57">
        <v>1.0</v>
      </c>
      <c r="G371" s="58">
        <v>2.12</v>
      </c>
      <c r="H371" s="58">
        <v>1.68</v>
      </c>
      <c r="I371" s="59">
        <f t="shared" si="208"/>
        <v>3.8</v>
      </c>
      <c r="J371" s="59">
        <f t="shared" si="209"/>
        <v>2.12</v>
      </c>
      <c r="K371" s="59">
        <f t="shared" si="210"/>
        <v>1.68</v>
      </c>
      <c r="L371" s="59">
        <f t="shared" si="211"/>
        <v>3.8</v>
      </c>
      <c r="M371" s="60">
        <f t="shared" si="212"/>
        <v>4.79</v>
      </c>
      <c r="N371" s="61"/>
      <c r="O371" s="62"/>
      <c r="P371" s="140"/>
      <c r="Q371" s="64"/>
      <c r="R371" s="64"/>
      <c r="S371" s="64"/>
      <c r="T371" s="64"/>
      <c r="U371" s="64"/>
      <c r="V371" s="64"/>
      <c r="W371" s="64"/>
      <c r="X371" s="64"/>
      <c r="Y371" s="64"/>
    </row>
    <row r="372">
      <c r="A372" s="122" t="s">
        <v>677</v>
      </c>
      <c r="B372" s="176" t="s">
        <v>675</v>
      </c>
      <c r="C372" s="175" t="s">
        <v>541</v>
      </c>
      <c r="D372" s="184" t="s">
        <v>542</v>
      </c>
      <c r="E372" s="185" t="s">
        <v>58</v>
      </c>
      <c r="F372" s="57">
        <v>1.0</v>
      </c>
      <c r="G372" s="58">
        <v>25.56</v>
      </c>
      <c r="H372" s="58">
        <v>26.96</v>
      </c>
      <c r="I372" s="59">
        <f t="shared" si="208"/>
        <v>52.52</v>
      </c>
      <c r="J372" s="59">
        <f t="shared" si="209"/>
        <v>25.56</v>
      </c>
      <c r="K372" s="59">
        <f t="shared" si="210"/>
        <v>26.96</v>
      </c>
      <c r="L372" s="59">
        <f t="shared" si="211"/>
        <v>52.52</v>
      </c>
      <c r="M372" s="60">
        <f t="shared" si="212"/>
        <v>66.18</v>
      </c>
      <c r="N372" s="61"/>
      <c r="O372" s="62"/>
      <c r="P372" s="140"/>
      <c r="Q372" s="64"/>
      <c r="R372" s="64"/>
      <c r="S372" s="64"/>
      <c r="T372" s="64"/>
      <c r="U372" s="64"/>
      <c r="V372" s="64"/>
      <c r="W372" s="64"/>
      <c r="X372" s="64"/>
      <c r="Y372" s="64"/>
    </row>
    <row r="373">
      <c r="A373" s="122" t="s">
        <v>678</v>
      </c>
      <c r="B373" s="176" t="s">
        <v>675</v>
      </c>
      <c r="C373" s="175" t="s">
        <v>544</v>
      </c>
      <c r="D373" s="184" t="s">
        <v>545</v>
      </c>
      <c r="E373" s="185" t="s">
        <v>58</v>
      </c>
      <c r="F373" s="57">
        <v>1.0</v>
      </c>
      <c r="G373" s="58">
        <v>9.87</v>
      </c>
      <c r="H373" s="58">
        <v>4.4</v>
      </c>
      <c r="I373" s="59">
        <f t="shared" si="208"/>
        <v>14.27</v>
      </c>
      <c r="J373" s="59">
        <f t="shared" si="209"/>
        <v>9.87</v>
      </c>
      <c r="K373" s="59">
        <f t="shared" si="210"/>
        <v>4.4</v>
      </c>
      <c r="L373" s="59">
        <f t="shared" si="211"/>
        <v>14.27</v>
      </c>
      <c r="M373" s="60">
        <f t="shared" si="212"/>
        <v>17.98</v>
      </c>
      <c r="N373" s="61"/>
      <c r="O373" s="62"/>
      <c r="P373" s="140"/>
      <c r="Q373" s="64"/>
      <c r="R373" s="64"/>
      <c r="S373" s="64"/>
      <c r="T373" s="64"/>
      <c r="U373" s="64"/>
      <c r="V373" s="64"/>
      <c r="W373" s="64"/>
      <c r="X373" s="64"/>
      <c r="Y373" s="64"/>
    </row>
    <row r="374">
      <c r="A374" s="122" t="s">
        <v>679</v>
      </c>
      <c r="B374" s="176" t="s">
        <v>680</v>
      </c>
      <c r="C374" s="175" t="s">
        <v>601</v>
      </c>
      <c r="D374" s="184" t="s">
        <v>602</v>
      </c>
      <c r="E374" s="185" t="s">
        <v>416</v>
      </c>
      <c r="F374" s="57">
        <f>4</f>
        <v>4</v>
      </c>
      <c r="G374" s="58">
        <v>437.7</v>
      </c>
      <c r="H374" s="58">
        <v>54.81</v>
      </c>
      <c r="I374" s="59">
        <f t="shared" si="208"/>
        <v>492.51</v>
      </c>
      <c r="J374" s="59">
        <f t="shared" si="209"/>
        <v>1750.8</v>
      </c>
      <c r="K374" s="59">
        <f t="shared" si="210"/>
        <v>219.24</v>
      </c>
      <c r="L374" s="59">
        <f t="shared" si="211"/>
        <v>1970.04</v>
      </c>
      <c r="M374" s="60">
        <f t="shared" si="212"/>
        <v>2482.45</v>
      </c>
      <c r="N374" s="61"/>
      <c r="O374" s="62"/>
      <c r="P374" s="140"/>
      <c r="Q374" s="64"/>
      <c r="R374" s="64"/>
      <c r="S374" s="64"/>
      <c r="T374" s="64"/>
      <c r="U374" s="64"/>
      <c r="V374" s="64"/>
      <c r="W374" s="64"/>
      <c r="X374" s="64"/>
      <c r="Y374" s="64"/>
    </row>
    <row r="375">
      <c r="A375" s="122" t="s">
        <v>681</v>
      </c>
      <c r="B375" s="176" t="s">
        <v>682</v>
      </c>
      <c r="C375" s="175" t="s">
        <v>570</v>
      </c>
      <c r="D375" s="184" t="s">
        <v>669</v>
      </c>
      <c r="E375" s="185" t="s">
        <v>572</v>
      </c>
      <c r="F375" s="57">
        <v>1.0</v>
      </c>
      <c r="G375" s="58">
        <f>1098.08-H375</f>
        <v>1093.68</v>
      </c>
      <c r="H375" s="58">
        <v>4.4</v>
      </c>
      <c r="I375" s="59">
        <f t="shared" si="208"/>
        <v>1098.08</v>
      </c>
      <c r="J375" s="59">
        <f t="shared" si="209"/>
        <v>1093.68</v>
      </c>
      <c r="K375" s="59">
        <f t="shared" si="210"/>
        <v>4.4</v>
      </c>
      <c r="L375" s="59">
        <f t="shared" si="211"/>
        <v>1098.08</v>
      </c>
      <c r="M375" s="60">
        <f t="shared" si="212"/>
        <v>1383.69</v>
      </c>
      <c r="N375" s="61"/>
      <c r="O375" s="62"/>
      <c r="P375" s="140"/>
      <c r="Q375" s="64"/>
      <c r="R375" s="64"/>
      <c r="S375" s="64"/>
      <c r="T375" s="64"/>
      <c r="U375" s="64"/>
      <c r="V375" s="64"/>
      <c r="W375" s="64"/>
      <c r="X375" s="64"/>
      <c r="Y375" s="64"/>
    </row>
    <row r="376" ht="12.75" customHeight="1">
      <c r="A376" s="44"/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5"/>
      <c r="N376" s="74"/>
      <c r="O376" s="62"/>
      <c r="P376" s="140"/>
      <c r="Q376" s="4"/>
      <c r="R376" s="4"/>
      <c r="S376" s="4"/>
      <c r="T376" s="4"/>
      <c r="U376" s="4"/>
      <c r="V376" s="4"/>
      <c r="W376" s="4"/>
      <c r="X376" s="4"/>
      <c r="Y376" s="4"/>
    </row>
    <row r="377" ht="12.75" customHeight="1">
      <c r="A377" s="112" t="s">
        <v>683</v>
      </c>
      <c r="B377" s="113"/>
      <c r="C377" s="114"/>
      <c r="D377" s="48" t="s">
        <v>684</v>
      </c>
      <c r="E377" s="34"/>
      <c r="F377" s="34"/>
      <c r="G377" s="34"/>
      <c r="H377" s="34"/>
      <c r="I377" s="35"/>
      <c r="J377" s="49">
        <f t="shared" ref="J377:M377" si="213">SUM(J378:J386)</f>
        <v>32568.1123</v>
      </c>
      <c r="K377" s="49">
        <f t="shared" si="213"/>
        <v>2553.8664</v>
      </c>
      <c r="L377" s="49">
        <f t="shared" si="213"/>
        <v>35121.98</v>
      </c>
      <c r="M377" s="49">
        <f t="shared" si="213"/>
        <v>42848.78</v>
      </c>
      <c r="N377" s="74">
        <f>M377</f>
        <v>42848.78</v>
      </c>
      <c r="O377" s="62"/>
      <c r="P377" s="140"/>
      <c r="Q377" s="4"/>
      <c r="R377" s="4"/>
      <c r="S377" s="4"/>
      <c r="T377" s="4"/>
      <c r="U377" s="4"/>
      <c r="V377" s="4"/>
      <c r="W377" s="4"/>
      <c r="X377" s="4"/>
      <c r="Y377" s="4"/>
    </row>
    <row r="378">
      <c r="A378" s="122" t="s">
        <v>685</v>
      </c>
      <c r="B378" s="176" t="s">
        <v>686</v>
      </c>
      <c r="C378" s="175">
        <v>103325.0</v>
      </c>
      <c r="D378" s="184" t="s">
        <v>687</v>
      </c>
      <c r="E378" s="185" t="s">
        <v>688</v>
      </c>
      <c r="F378" s="57">
        <f>2.25+9</f>
        <v>11.25</v>
      </c>
      <c r="G378" s="58">
        <v>53.31</v>
      </c>
      <c r="H378" s="58">
        <v>23.57</v>
      </c>
      <c r="I378" s="59">
        <f t="shared" ref="I378:I386" si="214">G378+H378</f>
        <v>76.88</v>
      </c>
      <c r="J378" s="59">
        <f t="shared" ref="J378:J386" si="215">G378*F378</f>
        <v>599.7375</v>
      </c>
      <c r="K378" s="59">
        <f t="shared" ref="K378:K386" si="216">H378*F378</f>
        <v>265.1625</v>
      </c>
      <c r="L378" s="59">
        <f t="shared" ref="L378:L386" si="217">ROUND(J378+K378,2)</f>
        <v>864.9</v>
      </c>
      <c r="M378" s="60">
        <f t="shared" ref="M378:M382" si="218">ROUND(L378*(1+$M$4),2)</f>
        <v>1089.86</v>
      </c>
      <c r="N378" s="61"/>
      <c r="O378" s="62"/>
      <c r="P378" s="140"/>
      <c r="Q378" s="64"/>
      <c r="R378" s="64"/>
      <c r="S378" s="64"/>
      <c r="T378" s="64"/>
      <c r="U378" s="64"/>
      <c r="V378" s="64"/>
      <c r="W378" s="64"/>
      <c r="X378" s="64"/>
      <c r="Y378" s="64"/>
    </row>
    <row r="379">
      <c r="A379" s="122" t="s">
        <v>689</v>
      </c>
      <c r="B379" s="176" t="s">
        <v>690</v>
      </c>
      <c r="C379" s="175" t="s">
        <v>538</v>
      </c>
      <c r="D379" s="184" t="s">
        <v>676</v>
      </c>
      <c r="E379" s="185" t="s">
        <v>688</v>
      </c>
      <c r="F379" s="57">
        <f t="shared" ref="F379:F380" si="219">5+20</f>
        <v>25</v>
      </c>
      <c r="G379" s="58">
        <v>2.12</v>
      </c>
      <c r="H379" s="58">
        <v>1.68</v>
      </c>
      <c r="I379" s="59">
        <f t="shared" si="214"/>
        <v>3.8</v>
      </c>
      <c r="J379" s="59">
        <f t="shared" si="215"/>
        <v>53</v>
      </c>
      <c r="K379" s="59">
        <f t="shared" si="216"/>
        <v>42</v>
      </c>
      <c r="L379" s="59">
        <f t="shared" si="217"/>
        <v>95</v>
      </c>
      <c r="M379" s="60">
        <f t="shared" si="218"/>
        <v>119.71</v>
      </c>
      <c r="N379" s="61"/>
      <c r="O379" s="62"/>
      <c r="P379" s="140"/>
      <c r="Q379" s="64"/>
      <c r="R379" s="64"/>
      <c r="S379" s="64"/>
      <c r="T379" s="64"/>
      <c r="U379" s="64"/>
      <c r="V379" s="64"/>
      <c r="W379" s="64"/>
      <c r="X379" s="64"/>
      <c r="Y379" s="64"/>
    </row>
    <row r="380">
      <c r="A380" s="122" t="s">
        <v>691</v>
      </c>
      <c r="B380" s="176" t="s">
        <v>692</v>
      </c>
      <c r="C380" s="175" t="s">
        <v>541</v>
      </c>
      <c r="D380" s="184" t="s">
        <v>542</v>
      </c>
      <c r="E380" s="185" t="s">
        <v>688</v>
      </c>
      <c r="F380" s="57">
        <f t="shared" si="219"/>
        <v>25</v>
      </c>
      <c r="G380" s="58">
        <v>25.56</v>
      </c>
      <c r="H380" s="58">
        <v>26.96</v>
      </c>
      <c r="I380" s="59">
        <f t="shared" si="214"/>
        <v>52.52</v>
      </c>
      <c r="J380" s="59">
        <f t="shared" si="215"/>
        <v>639</v>
      </c>
      <c r="K380" s="59">
        <f t="shared" si="216"/>
        <v>674</v>
      </c>
      <c r="L380" s="59">
        <f t="shared" si="217"/>
        <v>1313</v>
      </c>
      <c r="M380" s="60">
        <f t="shared" si="218"/>
        <v>1654.51</v>
      </c>
      <c r="N380" s="61"/>
      <c r="O380" s="62"/>
      <c r="P380" s="140"/>
      <c r="Q380" s="64"/>
      <c r="R380" s="64"/>
      <c r="S380" s="64"/>
      <c r="T380" s="64"/>
      <c r="U380" s="64"/>
      <c r="V380" s="64"/>
      <c r="W380" s="64"/>
      <c r="X380" s="64"/>
      <c r="Y380" s="64"/>
    </row>
    <row r="381">
      <c r="A381" s="122" t="s">
        <v>693</v>
      </c>
      <c r="B381" s="176" t="s">
        <v>694</v>
      </c>
      <c r="C381" s="175" t="s">
        <v>695</v>
      </c>
      <c r="D381" s="184" t="s">
        <v>696</v>
      </c>
      <c r="E381" s="185" t="s">
        <v>688</v>
      </c>
      <c r="F381" s="57">
        <v>20.0</v>
      </c>
      <c r="G381" s="58">
        <v>79.5</v>
      </c>
      <c r="H381" s="58">
        <v>8.08</v>
      </c>
      <c r="I381" s="59">
        <f t="shared" si="214"/>
        <v>87.58</v>
      </c>
      <c r="J381" s="59">
        <f t="shared" si="215"/>
        <v>1590</v>
      </c>
      <c r="K381" s="59">
        <f t="shared" si="216"/>
        <v>161.6</v>
      </c>
      <c r="L381" s="59">
        <f t="shared" si="217"/>
        <v>1751.6</v>
      </c>
      <c r="M381" s="60">
        <f t="shared" si="218"/>
        <v>2207.19</v>
      </c>
      <c r="N381" s="61"/>
      <c r="O381" s="62"/>
      <c r="P381" s="140"/>
      <c r="Q381" s="64"/>
      <c r="R381" s="64"/>
      <c r="S381" s="64"/>
      <c r="T381" s="64"/>
      <c r="U381" s="64"/>
      <c r="V381" s="64"/>
      <c r="W381" s="64"/>
      <c r="X381" s="64"/>
      <c r="Y381" s="64"/>
    </row>
    <row r="382">
      <c r="A382" s="122" t="s">
        <v>697</v>
      </c>
      <c r="B382" s="176" t="s">
        <v>698</v>
      </c>
      <c r="C382" s="85" t="s">
        <v>699</v>
      </c>
      <c r="D382" s="83" t="s">
        <v>700</v>
      </c>
      <c r="E382" s="185" t="s">
        <v>688</v>
      </c>
      <c r="F382" s="57">
        <f>20+11</f>
        <v>31</v>
      </c>
      <c r="G382" s="58">
        <v>29.45</v>
      </c>
      <c r="H382" s="58">
        <v>12.51</v>
      </c>
      <c r="I382" s="59">
        <f t="shared" si="214"/>
        <v>41.96</v>
      </c>
      <c r="J382" s="59">
        <f t="shared" si="215"/>
        <v>912.95</v>
      </c>
      <c r="K382" s="59">
        <f t="shared" si="216"/>
        <v>387.81</v>
      </c>
      <c r="L382" s="59">
        <f t="shared" si="217"/>
        <v>1300.76</v>
      </c>
      <c r="M382" s="60">
        <f t="shared" si="218"/>
        <v>1639.09</v>
      </c>
      <c r="N382" s="61"/>
      <c r="O382" s="62"/>
      <c r="P382" s="140"/>
      <c r="Q382" s="64"/>
      <c r="R382" s="64"/>
      <c r="S382" s="64"/>
      <c r="T382" s="64"/>
      <c r="U382" s="64"/>
      <c r="V382" s="64"/>
      <c r="W382" s="64"/>
      <c r="X382" s="64"/>
      <c r="Y382" s="64"/>
    </row>
    <row r="383">
      <c r="A383" s="122" t="s">
        <v>701</v>
      </c>
      <c r="B383" s="155" t="s">
        <v>702</v>
      </c>
      <c r="C383" s="156" t="s">
        <v>703</v>
      </c>
      <c r="D383" s="189" t="s">
        <v>704</v>
      </c>
      <c r="E383" s="57" t="s">
        <v>572</v>
      </c>
      <c r="F383" s="57">
        <v>1.0</v>
      </c>
      <c r="G383" s="99">
        <f>'COTAÇÕES'!B18</f>
        <v>14580</v>
      </c>
      <c r="H383" s="99">
        <v>0.0</v>
      </c>
      <c r="I383" s="59">
        <f t="shared" si="214"/>
        <v>14580</v>
      </c>
      <c r="J383" s="59">
        <f t="shared" si="215"/>
        <v>14580</v>
      </c>
      <c r="K383" s="59">
        <f t="shared" si="216"/>
        <v>0</v>
      </c>
      <c r="L383" s="59">
        <f t="shared" si="217"/>
        <v>14580</v>
      </c>
      <c r="M383" s="100">
        <f>ROUND(L383*(1+$M$5),2)</f>
        <v>16963.83</v>
      </c>
      <c r="N383" s="61"/>
      <c r="O383" s="62"/>
      <c r="P383" s="140"/>
      <c r="Q383" s="64"/>
      <c r="R383" s="64"/>
      <c r="S383" s="64"/>
      <c r="T383" s="64"/>
      <c r="U383" s="64"/>
      <c r="V383" s="64"/>
      <c r="W383" s="64"/>
      <c r="X383" s="64"/>
      <c r="Y383" s="64"/>
    </row>
    <row r="384">
      <c r="A384" s="122" t="s">
        <v>705</v>
      </c>
      <c r="B384" s="155" t="s">
        <v>706</v>
      </c>
      <c r="C384" s="156" t="s">
        <v>707</v>
      </c>
      <c r="D384" s="177" t="s">
        <v>708</v>
      </c>
      <c r="E384" s="57" t="s">
        <v>572</v>
      </c>
      <c r="F384" s="57">
        <v>1.0</v>
      </c>
      <c r="G384" s="99">
        <f>'COTAÇÕES'!B25</f>
        <v>3065.22</v>
      </c>
      <c r="H384" s="99">
        <v>0.0</v>
      </c>
      <c r="I384" s="59">
        <f t="shared" si="214"/>
        <v>3065.22</v>
      </c>
      <c r="J384" s="59">
        <f t="shared" si="215"/>
        <v>3065.22</v>
      </c>
      <c r="K384" s="59">
        <f t="shared" si="216"/>
        <v>0</v>
      </c>
      <c r="L384" s="59">
        <f t="shared" si="217"/>
        <v>3065.22</v>
      </c>
      <c r="M384" s="60">
        <f t="shared" ref="M384:M386" si="220">ROUND(L384*(1+$M$4),2)</f>
        <v>3862.48</v>
      </c>
      <c r="N384" s="61"/>
      <c r="O384" s="62"/>
      <c r="P384" s="140"/>
      <c r="Q384" s="64"/>
      <c r="R384" s="64"/>
      <c r="S384" s="64"/>
      <c r="T384" s="64"/>
      <c r="U384" s="64"/>
      <c r="V384" s="64"/>
      <c r="W384" s="64"/>
      <c r="X384" s="64"/>
      <c r="Y384" s="64"/>
    </row>
    <row r="385">
      <c r="A385" s="122" t="s">
        <v>709</v>
      </c>
      <c r="B385" s="176" t="s">
        <v>710</v>
      </c>
      <c r="C385" s="175" t="s">
        <v>711</v>
      </c>
      <c r="D385" s="184" t="s">
        <v>712</v>
      </c>
      <c r="E385" s="119" t="s">
        <v>572</v>
      </c>
      <c r="F385" s="57">
        <v>1.0</v>
      </c>
      <c r="G385" s="58">
        <v>150.94</v>
      </c>
      <c r="H385" s="58">
        <v>88.72</v>
      </c>
      <c r="I385" s="59">
        <f t="shared" si="214"/>
        <v>239.66</v>
      </c>
      <c r="J385" s="59">
        <f t="shared" si="215"/>
        <v>150.94</v>
      </c>
      <c r="K385" s="59">
        <f t="shared" si="216"/>
        <v>88.72</v>
      </c>
      <c r="L385" s="59">
        <f t="shared" si="217"/>
        <v>239.66</v>
      </c>
      <c r="M385" s="60">
        <f t="shared" si="220"/>
        <v>302</v>
      </c>
      <c r="N385" s="61"/>
      <c r="O385" s="62"/>
      <c r="P385" s="140"/>
      <c r="Q385" s="64"/>
      <c r="R385" s="64"/>
      <c r="S385" s="64"/>
      <c r="T385" s="64"/>
      <c r="U385" s="64"/>
      <c r="V385" s="64"/>
      <c r="W385" s="64"/>
      <c r="X385" s="64"/>
      <c r="Y385" s="64"/>
    </row>
    <row r="386">
      <c r="A386" s="122" t="s">
        <v>713</v>
      </c>
      <c r="B386" s="155" t="s">
        <v>714</v>
      </c>
      <c r="C386" s="156" t="s">
        <v>715</v>
      </c>
      <c r="D386" s="177" t="s">
        <v>716</v>
      </c>
      <c r="E386" s="120"/>
      <c r="F386" s="57">
        <v>1.0</v>
      </c>
      <c r="G386" s="99">
        <f>'COMPOSIÇÕES'!I43</f>
        <v>10977.2648</v>
      </c>
      <c r="H386" s="99">
        <f>'COMPOSIÇÕES'!J43</f>
        <v>934.5739</v>
      </c>
      <c r="I386" s="59">
        <f t="shared" si="214"/>
        <v>11911.8387</v>
      </c>
      <c r="J386" s="59">
        <f t="shared" si="215"/>
        <v>10977.2648</v>
      </c>
      <c r="K386" s="59">
        <f t="shared" si="216"/>
        <v>934.5739</v>
      </c>
      <c r="L386" s="59">
        <f t="shared" si="217"/>
        <v>11911.84</v>
      </c>
      <c r="M386" s="60">
        <f t="shared" si="220"/>
        <v>15010.11</v>
      </c>
      <c r="N386" s="61"/>
      <c r="O386" s="62"/>
      <c r="P386" s="140"/>
      <c r="Q386" s="64"/>
      <c r="R386" s="64"/>
      <c r="S386" s="64"/>
      <c r="T386" s="64"/>
      <c r="U386" s="64"/>
      <c r="V386" s="64"/>
      <c r="W386" s="64"/>
      <c r="X386" s="64"/>
      <c r="Y386" s="64"/>
    </row>
    <row r="387" ht="12.75" customHeight="1">
      <c r="A387" s="44"/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5"/>
      <c r="N387" s="74"/>
      <c r="O387" s="62"/>
      <c r="P387" s="140"/>
      <c r="Q387" s="4"/>
      <c r="R387" s="4"/>
      <c r="S387" s="4"/>
      <c r="T387" s="4"/>
      <c r="U387" s="4"/>
      <c r="V387" s="4"/>
      <c r="W387" s="4"/>
      <c r="X387" s="4"/>
      <c r="Y387" s="4"/>
    </row>
    <row r="388" ht="12.75" customHeight="1">
      <c r="A388" s="112" t="s">
        <v>717</v>
      </c>
      <c r="B388" s="113"/>
      <c r="C388" s="114"/>
      <c r="D388" s="48" t="s">
        <v>718</v>
      </c>
      <c r="E388" s="34"/>
      <c r="F388" s="34"/>
      <c r="G388" s="34"/>
      <c r="H388" s="34"/>
      <c r="I388" s="35"/>
      <c r="J388" s="49">
        <f t="shared" ref="J388:M388" si="221">SUM(J389:J403)</f>
        <v>3792.058</v>
      </c>
      <c r="K388" s="49">
        <f t="shared" si="221"/>
        <v>629.7245</v>
      </c>
      <c r="L388" s="49">
        <f t="shared" si="221"/>
        <v>4421.77</v>
      </c>
      <c r="M388" s="49">
        <f t="shared" si="221"/>
        <v>5571.86</v>
      </c>
      <c r="N388" s="74">
        <f>M388</f>
        <v>5571.86</v>
      </c>
      <c r="O388" s="62"/>
      <c r="P388" s="140"/>
      <c r="Q388" s="4"/>
      <c r="R388" s="4"/>
      <c r="S388" s="4"/>
      <c r="T388" s="4"/>
      <c r="U388" s="4"/>
      <c r="V388" s="4"/>
      <c r="W388" s="4"/>
      <c r="X388" s="4"/>
      <c r="Y388" s="4"/>
    </row>
    <row r="389">
      <c r="A389" s="122" t="s">
        <v>719</v>
      </c>
      <c r="B389" s="155" t="s">
        <v>644</v>
      </c>
      <c r="C389" s="175" t="s">
        <v>552</v>
      </c>
      <c r="D389" s="184" t="s">
        <v>553</v>
      </c>
      <c r="E389" s="185" t="s">
        <v>688</v>
      </c>
      <c r="F389" s="57">
        <v>2.0</v>
      </c>
      <c r="G389" s="58">
        <v>15.96</v>
      </c>
      <c r="H389" s="58">
        <v>16.35</v>
      </c>
      <c r="I389" s="59">
        <f t="shared" ref="I389:I403" si="222">G389+H389</f>
        <v>32.31</v>
      </c>
      <c r="J389" s="59">
        <f t="shared" ref="J389:J403" si="223">G389*F389</f>
        <v>31.92</v>
      </c>
      <c r="K389" s="59">
        <f t="shared" ref="K389:K403" si="224">H389*F389</f>
        <v>32.7</v>
      </c>
      <c r="L389" s="59">
        <f t="shared" ref="L389:L403" si="225">ROUND(J389+K389,2)</f>
        <v>64.62</v>
      </c>
      <c r="M389" s="60">
        <f t="shared" ref="M389:M403" si="226">ROUND(L389*(1+$M$4),2)</f>
        <v>81.43</v>
      </c>
      <c r="N389" s="61"/>
      <c r="O389" s="62"/>
      <c r="P389" s="140"/>
      <c r="Q389" s="64"/>
      <c r="R389" s="64"/>
      <c r="S389" s="64"/>
      <c r="T389" s="64"/>
      <c r="U389" s="64"/>
      <c r="V389" s="64"/>
      <c r="W389" s="64"/>
      <c r="X389" s="64"/>
      <c r="Y389" s="64"/>
    </row>
    <row r="390">
      <c r="A390" s="122" t="s">
        <v>720</v>
      </c>
      <c r="B390" s="155" t="s">
        <v>646</v>
      </c>
      <c r="C390" s="175" t="s">
        <v>534</v>
      </c>
      <c r="D390" s="184" t="s">
        <v>535</v>
      </c>
      <c r="E390" s="185" t="s">
        <v>721</v>
      </c>
      <c r="F390" s="57">
        <v>0.3</v>
      </c>
      <c r="G390" s="58">
        <v>16.61</v>
      </c>
      <c r="H390" s="58">
        <v>35.08</v>
      </c>
      <c r="I390" s="59">
        <f t="shared" si="222"/>
        <v>51.69</v>
      </c>
      <c r="J390" s="59">
        <f t="shared" si="223"/>
        <v>4.983</v>
      </c>
      <c r="K390" s="59">
        <f t="shared" si="224"/>
        <v>10.524</v>
      </c>
      <c r="L390" s="59">
        <f t="shared" si="225"/>
        <v>15.51</v>
      </c>
      <c r="M390" s="60">
        <f t="shared" si="226"/>
        <v>19.54</v>
      </c>
      <c r="N390" s="61"/>
      <c r="O390" s="62"/>
      <c r="P390" s="140"/>
      <c r="Q390" s="64"/>
      <c r="R390" s="64"/>
      <c r="S390" s="64"/>
      <c r="T390" s="64"/>
      <c r="U390" s="64"/>
      <c r="V390" s="64"/>
      <c r="W390" s="64"/>
      <c r="X390" s="64"/>
      <c r="Y390" s="64"/>
    </row>
    <row r="391">
      <c r="A391" s="122" t="s">
        <v>722</v>
      </c>
      <c r="B391" s="155" t="s">
        <v>648</v>
      </c>
      <c r="C391" s="175">
        <v>103325.0</v>
      </c>
      <c r="D391" s="184" t="s">
        <v>687</v>
      </c>
      <c r="E391" s="185" t="s">
        <v>688</v>
      </c>
      <c r="F391" s="57">
        <v>1.15</v>
      </c>
      <c r="G391" s="58">
        <v>53.31</v>
      </c>
      <c r="H391" s="58">
        <v>23.57</v>
      </c>
      <c r="I391" s="59">
        <f t="shared" si="222"/>
        <v>76.88</v>
      </c>
      <c r="J391" s="59">
        <f t="shared" si="223"/>
        <v>61.3065</v>
      </c>
      <c r="K391" s="59">
        <f t="shared" si="224"/>
        <v>27.1055</v>
      </c>
      <c r="L391" s="59">
        <f t="shared" si="225"/>
        <v>88.41</v>
      </c>
      <c r="M391" s="60">
        <f t="shared" si="226"/>
        <v>111.41</v>
      </c>
      <c r="N391" s="61"/>
      <c r="O391" s="62"/>
      <c r="P391" s="140"/>
      <c r="Q391" s="64"/>
      <c r="R391" s="64"/>
      <c r="S391" s="64"/>
      <c r="T391" s="64"/>
      <c r="U391" s="64"/>
      <c r="V391" s="64"/>
      <c r="W391" s="64"/>
      <c r="X391" s="64"/>
      <c r="Y391" s="64"/>
    </row>
    <row r="392">
      <c r="A392" s="122" t="s">
        <v>723</v>
      </c>
      <c r="B392" s="94" t="s">
        <v>724</v>
      </c>
      <c r="C392" s="85" t="s">
        <v>538</v>
      </c>
      <c r="D392" s="190" t="s">
        <v>676</v>
      </c>
      <c r="E392" s="191" t="s">
        <v>688</v>
      </c>
      <c r="F392" s="192">
        <v>2.35</v>
      </c>
      <c r="G392" s="58">
        <v>2.12</v>
      </c>
      <c r="H392" s="58">
        <v>1.68</v>
      </c>
      <c r="I392" s="59">
        <f t="shared" si="222"/>
        <v>3.8</v>
      </c>
      <c r="J392" s="59">
        <f t="shared" si="223"/>
        <v>4.982</v>
      </c>
      <c r="K392" s="59">
        <f t="shared" si="224"/>
        <v>3.948</v>
      </c>
      <c r="L392" s="59">
        <f t="shared" si="225"/>
        <v>8.93</v>
      </c>
      <c r="M392" s="60">
        <f t="shared" si="226"/>
        <v>11.25</v>
      </c>
      <c r="N392" s="61"/>
      <c r="O392" s="62"/>
      <c r="P392" s="140"/>
      <c r="Q392" s="64"/>
      <c r="R392" s="64"/>
      <c r="S392" s="64"/>
      <c r="T392" s="64"/>
      <c r="U392" s="64"/>
      <c r="V392" s="64"/>
      <c r="W392" s="64"/>
      <c r="X392" s="64"/>
      <c r="Y392" s="64"/>
    </row>
    <row r="393">
      <c r="A393" s="122" t="s">
        <v>725</v>
      </c>
      <c r="B393" s="155" t="s">
        <v>652</v>
      </c>
      <c r="C393" s="175" t="s">
        <v>541</v>
      </c>
      <c r="D393" s="184" t="s">
        <v>542</v>
      </c>
      <c r="E393" s="119" t="s">
        <v>688</v>
      </c>
      <c r="F393" s="57">
        <v>3.35</v>
      </c>
      <c r="G393" s="58">
        <v>25.56</v>
      </c>
      <c r="H393" s="58">
        <v>26.96</v>
      </c>
      <c r="I393" s="59">
        <f t="shared" si="222"/>
        <v>52.52</v>
      </c>
      <c r="J393" s="59">
        <f t="shared" si="223"/>
        <v>85.626</v>
      </c>
      <c r="K393" s="59">
        <f t="shared" si="224"/>
        <v>90.316</v>
      </c>
      <c r="L393" s="59">
        <f t="shared" si="225"/>
        <v>175.94</v>
      </c>
      <c r="M393" s="60">
        <f t="shared" si="226"/>
        <v>221.7</v>
      </c>
      <c r="N393" s="61"/>
      <c r="O393" s="62"/>
      <c r="P393" s="140"/>
      <c r="Q393" s="64"/>
      <c r="R393" s="64"/>
      <c r="S393" s="64"/>
      <c r="T393" s="64"/>
      <c r="U393" s="64"/>
      <c r="V393" s="64"/>
      <c r="W393" s="64"/>
      <c r="X393" s="64"/>
      <c r="Y393" s="64"/>
    </row>
    <row r="394">
      <c r="A394" s="122" t="s">
        <v>726</v>
      </c>
      <c r="B394" s="155" t="s">
        <v>654</v>
      </c>
      <c r="C394" s="175" t="s">
        <v>544</v>
      </c>
      <c r="D394" s="184" t="s">
        <v>545</v>
      </c>
      <c r="E394" s="119" t="s">
        <v>688</v>
      </c>
      <c r="F394" s="57">
        <v>3.35</v>
      </c>
      <c r="G394" s="58">
        <v>9.87</v>
      </c>
      <c r="H394" s="58">
        <v>4.4</v>
      </c>
      <c r="I394" s="59">
        <f t="shared" si="222"/>
        <v>14.27</v>
      </c>
      <c r="J394" s="59">
        <f t="shared" si="223"/>
        <v>33.0645</v>
      </c>
      <c r="K394" s="59">
        <f t="shared" si="224"/>
        <v>14.74</v>
      </c>
      <c r="L394" s="59">
        <f t="shared" si="225"/>
        <v>47.8</v>
      </c>
      <c r="M394" s="60">
        <f t="shared" si="226"/>
        <v>60.23</v>
      </c>
      <c r="N394" s="61"/>
      <c r="O394" s="62"/>
      <c r="P394" s="140"/>
      <c r="Q394" s="64"/>
      <c r="R394" s="64"/>
      <c r="S394" s="64"/>
      <c r="T394" s="64"/>
      <c r="U394" s="64"/>
      <c r="V394" s="64"/>
      <c r="W394" s="64"/>
      <c r="X394" s="64"/>
      <c r="Y394" s="64"/>
    </row>
    <row r="395">
      <c r="A395" s="122" t="s">
        <v>727</v>
      </c>
      <c r="B395" s="155" t="s">
        <v>656</v>
      </c>
      <c r="C395" s="175" t="s">
        <v>601</v>
      </c>
      <c r="D395" s="184" t="s">
        <v>602</v>
      </c>
      <c r="E395" s="185" t="s">
        <v>416</v>
      </c>
      <c r="F395" s="57">
        <v>2.1</v>
      </c>
      <c r="G395" s="58">
        <v>437.7</v>
      </c>
      <c r="H395" s="58">
        <v>54.81</v>
      </c>
      <c r="I395" s="59">
        <f t="shared" si="222"/>
        <v>492.51</v>
      </c>
      <c r="J395" s="59">
        <f t="shared" si="223"/>
        <v>919.17</v>
      </c>
      <c r="K395" s="59">
        <f t="shared" si="224"/>
        <v>115.101</v>
      </c>
      <c r="L395" s="59">
        <f t="shared" si="225"/>
        <v>1034.27</v>
      </c>
      <c r="M395" s="60">
        <f t="shared" si="226"/>
        <v>1303.28</v>
      </c>
      <c r="N395" s="61"/>
      <c r="O395" s="62"/>
      <c r="P395" s="140"/>
      <c r="Q395" s="64"/>
      <c r="R395" s="64"/>
      <c r="S395" s="64"/>
      <c r="T395" s="64"/>
      <c r="U395" s="64"/>
      <c r="V395" s="64"/>
      <c r="W395" s="64"/>
      <c r="X395" s="64"/>
      <c r="Y395" s="64"/>
    </row>
    <row r="396">
      <c r="A396" s="122" t="s">
        <v>728</v>
      </c>
      <c r="B396" s="155" t="s">
        <v>658</v>
      </c>
      <c r="C396" s="175" t="s">
        <v>548</v>
      </c>
      <c r="D396" s="184" t="s">
        <v>549</v>
      </c>
      <c r="E396" s="185" t="s">
        <v>51</v>
      </c>
      <c r="F396" s="57">
        <v>1.0</v>
      </c>
      <c r="G396" s="58">
        <v>96.67</v>
      </c>
      <c r="H396" s="58">
        <v>15.21</v>
      </c>
      <c r="I396" s="59">
        <f t="shared" si="222"/>
        <v>111.88</v>
      </c>
      <c r="J396" s="59">
        <f t="shared" si="223"/>
        <v>96.67</v>
      </c>
      <c r="K396" s="59">
        <f t="shared" si="224"/>
        <v>15.21</v>
      </c>
      <c r="L396" s="59">
        <f t="shared" si="225"/>
        <v>111.88</v>
      </c>
      <c r="M396" s="60">
        <f t="shared" si="226"/>
        <v>140.98</v>
      </c>
      <c r="N396" s="61"/>
      <c r="O396" s="62"/>
      <c r="P396" s="140"/>
      <c r="Q396" s="64"/>
      <c r="R396" s="64"/>
      <c r="S396" s="64"/>
      <c r="T396" s="64"/>
      <c r="U396" s="64"/>
      <c r="V396" s="64"/>
      <c r="W396" s="64"/>
      <c r="X396" s="64"/>
      <c r="Y396" s="64"/>
    </row>
    <row r="397">
      <c r="A397" s="122" t="s">
        <v>729</v>
      </c>
      <c r="B397" s="94" t="s">
        <v>730</v>
      </c>
      <c r="C397" s="175" t="s">
        <v>663</v>
      </c>
      <c r="D397" s="184" t="s">
        <v>608</v>
      </c>
      <c r="E397" s="119" t="s">
        <v>688</v>
      </c>
      <c r="F397" s="57">
        <v>4.2</v>
      </c>
      <c r="G397" s="58">
        <v>2.51</v>
      </c>
      <c r="H397" s="58">
        <v>5.93</v>
      </c>
      <c r="I397" s="59">
        <f t="shared" si="222"/>
        <v>8.44</v>
      </c>
      <c r="J397" s="59">
        <f t="shared" si="223"/>
        <v>10.542</v>
      </c>
      <c r="K397" s="59">
        <f t="shared" si="224"/>
        <v>24.906</v>
      </c>
      <c r="L397" s="59">
        <f t="shared" si="225"/>
        <v>35.45</v>
      </c>
      <c r="M397" s="60">
        <f t="shared" si="226"/>
        <v>44.67</v>
      </c>
      <c r="N397" s="61"/>
      <c r="O397" s="62"/>
      <c r="P397" s="140"/>
      <c r="Q397" s="64"/>
      <c r="R397" s="64"/>
      <c r="S397" s="64"/>
      <c r="T397" s="64"/>
      <c r="U397" s="64"/>
      <c r="V397" s="64"/>
      <c r="W397" s="64"/>
      <c r="X397" s="64"/>
      <c r="Y397" s="64"/>
    </row>
    <row r="398">
      <c r="A398" s="122" t="s">
        <v>731</v>
      </c>
      <c r="B398" s="94" t="s">
        <v>732</v>
      </c>
      <c r="C398" s="175" t="s">
        <v>538</v>
      </c>
      <c r="D398" s="184" t="s">
        <v>676</v>
      </c>
      <c r="E398" s="119" t="s">
        <v>688</v>
      </c>
      <c r="F398" s="57">
        <v>4.0</v>
      </c>
      <c r="G398" s="58">
        <v>2.12</v>
      </c>
      <c r="H398" s="58">
        <v>1.68</v>
      </c>
      <c r="I398" s="59">
        <f t="shared" si="222"/>
        <v>3.8</v>
      </c>
      <c r="J398" s="59">
        <f t="shared" si="223"/>
        <v>8.48</v>
      </c>
      <c r="K398" s="59">
        <f t="shared" si="224"/>
        <v>6.72</v>
      </c>
      <c r="L398" s="59">
        <f t="shared" si="225"/>
        <v>15.2</v>
      </c>
      <c r="M398" s="60">
        <f t="shared" si="226"/>
        <v>19.15</v>
      </c>
      <c r="N398" s="61"/>
      <c r="O398" s="62"/>
      <c r="P398" s="140"/>
      <c r="Q398" s="64"/>
      <c r="R398" s="64"/>
      <c r="S398" s="64"/>
      <c r="T398" s="64"/>
      <c r="U398" s="64"/>
      <c r="V398" s="64"/>
      <c r="W398" s="64"/>
      <c r="X398" s="64"/>
      <c r="Y398" s="64"/>
    </row>
    <row r="399">
      <c r="A399" s="122" t="s">
        <v>733</v>
      </c>
      <c r="B399" s="94" t="s">
        <v>732</v>
      </c>
      <c r="C399" s="175" t="s">
        <v>541</v>
      </c>
      <c r="D399" s="184" t="s">
        <v>542</v>
      </c>
      <c r="E399" s="119" t="s">
        <v>688</v>
      </c>
      <c r="F399" s="57">
        <v>4.0</v>
      </c>
      <c r="G399" s="58">
        <v>25.56</v>
      </c>
      <c r="H399" s="58">
        <v>26.96</v>
      </c>
      <c r="I399" s="59">
        <f t="shared" si="222"/>
        <v>52.52</v>
      </c>
      <c r="J399" s="59">
        <f t="shared" si="223"/>
        <v>102.24</v>
      </c>
      <c r="K399" s="59">
        <f t="shared" si="224"/>
        <v>107.84</v>
      </c>
      <c r="L399" s="59">
        <f t="shared" si="225"/>
        <v>210.08</v>
      </c>
      <c r="M399" s="60">
        <f t="shared" si="226"/>
        <v>264.72</v>
      </c>
      <c r="N399" s="61"/>
      <c r="O399" s="62"/>
      <c r="P399" s="140"/>
      <c r="Q399" s="64"/>
      <c r="R399" s="64"/>
      <c r="S399" s="64"/>
      <c r="T399" s="64"/>
      <c r="U399" s="64"/>
      <c r="V399" s="64"/>
      <c r="W399" s="64"/>
      <c r="X399" s="64"/>
      <c r="Y399" s="64"/>
    </row>
    <row r="400">
      <c r="A400" s="122" t="s">
        <v>734</v>
      </c>
      <c r="B400" s="94" t="s">
        <v>732</v>
      </c>
      <c r="C400" s="175" t="s">
        <v>544</v>
      </c>
      <c r="D400" s="184" t="s">
        <v>545</v>
      </c>
      <c r="E400" s="119" t="s">
        <v>688</v>
      </c>
      <c r="F400" s="57">
        <v>4.0</v>
      </c>
      <c r="G400" s="58">
        <v>9.87</v>
      </c>
      <c r="H400" s="58">
        <v>4.4</v>
      </c>
      <c r="I400" s="59">
        <f t="shared" si="222"/>
        <v>14.27</v>
      </c>
      <c r="J400" s="59">
        <f t="shared" si="223"/>
        <v>39.48</v>
      </c>
      <c r="K400" s="59">
        <f t="shared" si="224"/>
        <v>17.6</v>
      </c>
      <c r="L400" s="59">
        <f t="shared" si="225"/>
        <v>57.08</v>
      </c>
      <c r="M400" s="60">
        <f t="shared" si="226"/>
        <v>71.93</v>
      </c>
      <c r="N400" s="61"/>
      <c r="O400" s="62"/>
      <c r="P400" s="140"/>
      <c r="Q400" s="64"/>
      <c r="R400" s="64"/>
      <c r="S400" s="64"/>
      <c r="T400" s="64"/>
      <c r="U400" s="64"/>
      <c r="V400" s="64"/>
      <c r="W400" s="64"/>
      <c r="X400" s="64"/>
      <c r="Y400" s="64"/>
    </row>
    <row r="401">
      <c r="A401" s="122" t="s">
        <v>735</v>
      </c>
      <c r="B401" s="94" t="s">
        <v>736</v>
      </c>
      <c r="C401" s="175" t="s">
        <v>737</v>
      </c>
      <c r="D401" s="184" t="s">
        <v>738</v>
      </c>
      <c r="E401" s="119" t="s">
        <v>688</v>
      </c>
      <c r="F401" s="57">
        <f>2*1*2.1</f>
        <v>4.2</v>
      </c>
      <c r="G401" s="58">
        <v>499.13</v>
      </c>
      <c r="H401" s="58">
        <v>11.89</v>
      </c>
      <c r="I401" s="59">
        <f t="shared" si="222"/>
        <v>511.02</v>
      </c>
      <c r="J401" s="59">
        <f t="shared" si="223"/>
        <v>2096.346</v>
      </c>
      <c r="K401" s="59">
        <f t="shared" si="224"/>
        <v>49.938</v>
      </c>
      <c r="L401" s="59">
        <f t="shared" si="225"/>
        <v>2146.28</v>
      </c>
      <c r="M401" s="60">
        <f t="shared" si="226"/>
        <v>2704.53</v>
      </c>
      <c r="N401" s="61"/>
      <c r="O401" s="62"/>
      <c r="P401" s="140"/>
      <c r="Q401" s="64"/>
      <c r="R401" s="64"/>
      <c r="S401" s="64"/>
      <c r="T401" s="64"/>
      <c r="U401" s="64"/>
      <c r="V401" s="64"/>
      <c r="W401" s="64"/>
      <c r="X401" s="64"/>
      <c r="Y401" s="64"/>
    </row>
    <row r="402">
      <c r="A402" s="122" t="s">
        <v>739</v>
      </c>
      <c r="B402" s="155" t="s">
        <v>740</v>
      </c>
      <c r="C402" s="175" t="s">
        <v>548</v>
      </c>
      <c r="D402" s="184" t="s">
        <v>549</v>
      </c>
      <c r="E402" s="185" t="s">
        <v>51</v>
      </c>
      <c r="F402" s="57">
        <v>2.0</v>
      </c>
      <c r="G402" s="58">
        <v>96.67</v>
      </c>
      <c r="H402" s="58">
        <v>15.21</v>
      </c>
      <c r="I402" s="59">
        <f t="shared" si="222"/>
        <v>111.88</v>
      </c>
      <c r="J402" s="59">
        <f t="shared" si="223"/>
        <v>193.34</v>
      </c>
      <c r="K402" s="59">
        <f t="shared" si="224"/>
        <v>30.42</v>
      </c>
      <c r="L402" s="59">
        <f t="shared" si="225"/>
        <v>223.76</v>
      </c>
      <c r="M402" s="60">
        <f t="shared" si="226"/>
        <v>281.96</v>
      </c>
      <c r="N402" s="61"/>
      <c r="O402" s="62"/>
      <c r="P402" s="140"/>
      <c r="Q402" s="64"/>
      <c r="R402" s="64"/>
      <c r="S402" s="64"/>
      <c r="T402" s="64"/>
      <c r="U402" s="64"/>
      <c r="V402" s="64"/>
      <c r="W402" s="64"/>
      <c r="X402" s="64"/>
      <c r="Y402" s="64"/>
    </row>
    <row r="403">
      <c r="A403" s="122" t="s">
        <v>741</v>
      </c>
      <c r="B403" s="94" t="s">
        <v>742</v>
      </c>
      <c r="C403" s="175" t="s">
        <v>743</v>
      </c>
      <c r="D403" s="184" t="s">
        <v>744</v>
      </c>
      <c r="E403" s="119" t="s">
        <v>688</v>
      </c>
      <c r="F403" s="57">
        <f>8.4</f>
        <v>8.4</v>
      </c>
      <c r="G403" s="58">
        <v>12.37</v>
      </c>
      <c r="H403" s="58">
        <v>9.84</v>
      </c>
      <c r="I403" s="59">
        <f t="shared" si="222"/>
        <v>22.21</v>
      </c>
      <c r="J403" s="59">
        <f t="shared" si="223"/>
        <v>103.908</v>
      </c>
      <c r="K403" s="59">
        <f t="shared" si="224"/>
        <v>82.656</v>
      </c>
      <c r="L403" s="59">
        <f t="shared" si="225"/>
        <v>186.56</v>
      </c>
      <c r="M403" s="60">
        <f t="shared" si="226"/>
        <v>235.08</v>
      </c>
      <c r="N403" s="61"/>
      <c r="O403" s="62"/>
      <c r="P403" s="140"/>
      <c r="Q403" s="64"/>
      <c r="R403" s="64"/>
      <c r="S403" s="64"/>
      <c r="T403" s="64"/>
      <c r="U403" s="64"/>
      <c r="V403" s="64"/>
      <c r="W403" s="64"/>
      <c r="X403" s="64"/>
      <c r="Y403" s="64"/>
    </row>
    <row r="404" ht="12.75" customHeight="1">
      <c r="A404" s="44"/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5"/>
      <c r="N404" s="74"/>
      <c r="O404" s="62"/>
      <c r="P404" s="140"/>
      <c r="Q404" s="4"/>
      <c r="R404" s="4"/>
      <c r="S404" s="4"/>
      <c r="T404" s="4"/>
      <c r="U404" s="4"/>
      <c r="V404" s="4"/>
      <c r="W404" s="4"/>
      <c r="X404" s="4"/>
      <c r="Y404" s="4"/>
    </row>
    <row r="405" ht="12.75" customHeight="1">
      <c r="A405" s="112" t="s">
        <v>745</v>
      </c>
      <c r="B405" s="113"/>
      <c r="C405" s="114"/>
      <c r="D405" s="48" t="s">
        <v>746</v>
      </c>
      <c r="E405" s="34"/>
      <c r="F405" s="34"/>
      <c r="G405" s="34"/>
      <c r="H405" s="34"/>
      <c r="I405" s="35"/>
      <c r="J405" s="49">
        <f t="shared" ref="J405:M405" si="227">SUM(J406:J412)</f>
        <v>1059.2678</v>
      </c>
      <c r="K405" s="49">
        <f t="shared" si="227"/>
        <v>176.8214</v>
      </c>
      <c r="L405" s="49">
        <f t="shared" si="227"/>
        <v>1236.09</v>
      </c>
      <c r="M405" s="49">
        <f t="shared" si="227"/>
        <v>1557.59</v>
      </c>
      <c r="N405" s="74">
        <f>M405</f>
        <v>1557.59</v>
      </c>
      <c r="O405" s="62"/>
      <c r="P405" s="140"/>
      <c r="Q405" s="4"/>
      <c r="R405" s="4"/>
      <c r="S405" s="4"/>
      <c r="T405" s="4"/>
      <c r="U405" s="4"/>
      <c r="V405" s="4"/>
      <c r="W405" s="4"/>
      <c r="X405" s="4"/>
      <c r="Y405" s="4"/>
    </row>
    <row r="406">
      <c r="A406" s="122" t="s">
        <v>747</v>
      </c>
      <c r="B406" s="176" t="s">
        <v>748</v>
      </c>
      <c r="C406" s="175" t="s">
        <v>663</v>
      </c>
      <c r="D406" s="184" t="s">
        <v>608</v>
      </c>
      <c r="E406" s="185" t="s">
        <v>58</v>
      </c>
      <c r="F406" s="57">
        <v>1.68</v>
      </c>
      <c r="G406" s="58">
        <v>2.51</v>
      </c>
      <c r="H406" s="58">
        <v>5.93</v>
      </c>
      <c r="I406" s="59">
        <f t="shared" ref="I406:I412" si="228">G406+H406</f>
        <v>8.44</v>
      </c>
      <c r="J406" s="59">
        <f t="shared" ref="J406:J412" si="229">G406*F406</f>
        <v>4.2168</v>
      </c>
      <c r="K406" s="59">
        <f t="shared" ref="K406:K412" si="230">H406*F406</f>
        <v>9.9624</v>
      </c>
      <c r="L406" s="59">
        <f t="shared" ref="L406:L412" si="231">ROUND(J406+K406,2)</f>
        <v>14.18</v>
      </c>
      <c r="M406" s="60">
        <f t="shared" ref="M406:M412" si="232">ROUND(L406*(1+$M$4),2)</f>
        <v>17.87</v>
      </c>
      <c r="N406" s="61"/>
      <c r="O406" s="62"/>
      <c r="P406" s="140"/>
      <c r="Q406" s="64"/>
      <c r="R406" s="64"/>
      <c r="S406" s="64"/>
      <c r="T406" s="64"/>
      <c r="U406" s="64"/>
      <c r="V406" s="64"/>
      <c r="W406" s="64"/>
      <c r="X406" s="64"/>
      <c r="Y406" s="64"/>
    </row>
    <row r="407">
      <c r="A407" s="122" t="s">
        <v>749</v>
      </c>
      <c r="B407" s="176" t="s">
        <v>750</v>
      </c>
      <c r="C407" s="175" t="s">
        <v>534</v>
      </c>
      <c r="D407" s="184" t="s">
        <v>535</v>
      </c>
      <c r="E407" s="185" t="s">
        <v>43</v>
      </c>
      <c r="F407" s="57">
        <v>0.1</v>
      </c>
      <c r="G407" s="58">
        <v>16.61</v>
      </c>
      <c r="H407" s="58">
        <v>35.08</v>
      </c>
      <c r="I407" s="59">
        <f t="shared" si="228"/>
        <v>51.69</v>
      </c>
      <c r="J407" s="59">
        <f t="shared" si="229"/>
        <v>1.661</v>
      </c>
      <c r="K407" s="59">
        <f t="shared" si="230"/>
        <v>3.508</v>
      </c>
      <c r="L407" s="59">
        <f t="shared" si="231"/>
        <v>5.17</v>
      </c>
      <c r="M407" s="60">
        <f t="shared" si="232"/>
        <v>6.51</v>
      </c>
      <c r="N407" s="61"/>
      <c r="O407" s="62"/>
      <c r="P407" s="140"/>
      <c r="Q407" s="64"/>
      <c r="R407" s="64"/>
      <c r="S407" s="64"/>
      <c r="T407" s="64"/>
      <c r="U407" s="64"/>
      <c r="V407" s="64"/>
      <c r="W407" s="64"/>
      <c r="X407" s="64"/>
      <c r="Y407" s="64"/>
    </row>
    <row r="408">
      <c r="A408" s="122" t="s">
        <v>751</v>
      </c>
      <c r="B408" s="176" t="s">
        <v>752</v>
      </c>
      <c r="C408" s="175" t="s">
        <v>538</v>
      </c>
      <c r="D408" s="184" t="s">
        <v>676</v>
      </c>
      <c r="E408" s="185" t="s">
        <v>58</v>
      </c>
      <c r="F408" s="57">
        <v>1.0</v>
      </c>
      <c r="G408" s="58">
        <v>2.12</v>
      </c>
      <c r="H408" s="58">
        <v>1.68</v>
      </c>
      <c r="I408" s="59">
        <f t="shared" si="228"/>
        <v>3.8</v>
      </c>
      <c r="J408" s="59">
        <f t="shared" si="229"/>
        <v>2.12</v>
      </c>
      <c r="K408" s="59">
        <f t="shared" si="230"/>
        <v>1.68</v>
      </c>
      <c r="L408" s="59">
        <f t="shared" si="231"/>
        <v>3.8</v>
      </c>
      <c r="M408" s="60">
        <f t="shared" si="232"/>
        <v>4.79</v>
      </c>
      <c r="N408" s="61"/>
      <c r="O408" s="62"/>
      <c r="P408" s="140"/>
      <c r="Q408" s="64"/>
      <c r="R408" s="64"/>
      <c r="S408" s="64"/>
      <c r="T408" s="64"/>
      <c r="U408" s="64"/>
      <c r="V408" s="64"/>
      <c r="W408" s="64"/>
      <c r="X408" s="64"/>
      <c r="Y408" s="64"/>
    </row>
    <row r="409">
      <c r="A409" s="122" t="s">
        <v>753</v>
      </c>
      <c r="B409" s="176" t="s">
        <v>752</v>
      </c>
      <c r="C409" s="175" t="s">
        <v>541</v>
      </c>
      <c r="D409" s="184" t="s">
        <v>542</v>
      </c>
      <c r="E409" s="185" t="s">
        <v>58</v>
      </c>
      <c r="F409" s="57">
        <v>1.0</v>
      </c>
      <c r="G409" s="58">
        <v>25.56</v>
      </c>
      <c r="H409" s="58">
        <v>26.96</v>
      </c>
      <c r="I409" s="59">
        <f t="shared" si="228"/>
        <v>52.52</v>
      </c>
      <c r="J409" s="59">
        <f t="shared" si="229"/>
        <v>25.56</v>
      </c>
      <c r="K409" s="59">
        <f t="shared" si="230"/>
        <v>26.96</v>
      </c>
      <c r="L409" s="59">
        <f t="shared" si="231"/>
        <v>52.52</v>
      </c>
      <c r="M409" s="60">
        <f t="shared" si="232"/>
        <v>66.18</v>
      </c>
      <c r="N409" s="61"/>
      <c r="O409" s="62"/>
      <c r="P409" s="140"/>
      <c r="Q409" s="64"/>
      <c r="R409" s="64"/>
      <c r="S409" s="64"/>
      <c r="T409" s="64"/>
      <c r="U409" s="64"/>
      <c r="V409" s="64"/>
      <c r="W409" s="64"/>
      <c r="X409" s="64"/>
      <c r="Y409" s="64"/>
    </row>
    <row r="410">
      <c r="A410" s="122" t="s">
        <v>754</v>
      </c>
      <c r="B410" s="176" t="s">
        <v>755</v>
      </c>
      <c r="C410" s="175" t="s">
        <v>544</v>
      </c>
      <c r="D410" s="184" t="s">
        <v>545</v>
      </c>
      <c r="E410" s="185" t="s">
        <v>58</v>
      </c>
      <c r="F410" s="57">
        <v>1.0</v>
      </c>
      <c r="G410" s="58">
        <v>9.87</v>
      </c>
      <c r="H410" s="58">
        <v>4.4</v>
      </c>
      <c r="I410" s="59">
        <f t="shared" si="228"/>
        <v>14.27</v>
      </c>
      <c r="J410" s="59">
        <f t="shared" si="229"/>
        <v>9.87</v>
      </c>
      <c r="K410" s="59">
        <f t="shared" si="230"/>
        <v>4.4</v>
      </c>
      <c r="L410" s="59">
        <f t="shared" si="231"/>
        <v>14.27</v>
      </c>
      <c r="M410" s="60">
        <f t="shared" si="232"/>
        <v>17.98</v>
      </c>
      <c r="N410" s="61"/>
      <c r="O410" s="62"/>
      <c r="P410" s="140"/>
      <c r="Q410" s="64"/>
      <c r="R410" s="64"/>
      <c r="S410" s="64"/>
      <c r="T410" s="64"/>
      <c r="U410" s="64"/>
      <c r="V410" s="64"/>
      <c r="W410" s="64"/>
      <c r="X410" s="64"/>
      <c r="Y410" s="64"/>
    </row>
    <row r="411">
      <c r="A411" s="122" t="s">
        <v>756</v>
      </c>
      <c r="B411" s="176" t="s">
        <v>757</v>
      </c>
      <c r="C411" s="175" t="s">
        <v>548</v>
      </c>
      <c r="D411" s="184" t="s">
        <v>549</v>
      </c>
      <c r="E411" s="185" t="s">
        <v>51</v>
      </c>
      <c r="F411" s="57">
        <v>1.0</v>
      </c>
      <c r="G411" s="58">
        <v>96.67</v>
      </c>
      <c r="H411" s="58">
        <v>15.21</v>
      </c>
      <c r="I411" s="59">
        <f t="shared" si="228"/>
        <v>111.88</v>
      </c>
      <c r="J411" s="59">
        <f t="shared" si="229"/>
        <v>96.67</v>
      </c>
      <c r="K411" s="59">
        <f t="shared" si="230"/>
        <v>15.21</v>
      </c>
      <c r="L411" s="59">
        <f t="shared" si="231"/>
        <v>111.88</v>
      </c>
      <c r="M411" s="60">
        <f t="shared" si="232"/>
        <v>140.98</v>
      </c>
      <c r="N411" s="61"/>
      <c r="O411" s="62"/>
      <c r="P411" s="140"/>
      <c r="Q411" s="64"/>
      <c r="R411" s="64"/>
      <c r="S411" s="64"/>
      <c r="T411" s="64"/>
      <c r="U411" s="64"/>
      <c r="V411" s="64"/>
      <c r="W411" s="64"/>
      <c r="X411" s="64"/>
      <c r="Y411" s="64"/>
    </row>
    <row r="412">
      <c r="A412" s="122" t="s">
        <v>758</v>
      </c>
      <c r="B412" s="176" t="s">
        <v>759</v>
      </c>
      <c r="C412" s="175" t="s">
        <v>601</v>
      </c>
      <c r="D412" s="184" t="s">
        <v>602</v>
      </c>
      <c r="E412" s="185" t="s">
        <v>416</v>
      </c>
      <c r="F412" s="57">
        <v>2.1</v>
      </c>
      <c r="G412" s="58">
        <v>437.7</v>
      </c>
      <c r="H412" s="58">
        <v>54.81</v>
      </c>
      <c r="I412" s="59">
        <f t="shared" si="228"/>
        <v>492.51</v>
      </c>
      <c r="J412" s="59">
        <f t="shared" si="229"/>
        <v>919.17</v>
      </c>
      <c r="K412" s="59">
        <f t="shared" si="230"/>
        <v>115.101</v>
      </c>
      <c r="L412" s="59">
        <f t="shared" si="231"/>
        <v>1034.27</v>
      </c>
      <c r="M412" s="60">
        <f t="shared" si="232"/>
        <v>1303.28</v>
      </c>
      <c r="N412" s="61"/>
      <c r="O412" s="62"/>
      <c r="P412" s="140"/>
      <c r="Q412" s="64"/>
      <c r="R412" s="64"/>
      <c r="S412" s="64"/>
      <c r="T412" s="64"/>
      <c r="U412" s="64"/>
      <c r="V412" s="64"/>
      <c r="W412" s="64"/>
      <c r="X412" s="64"/>
      <c r="Y412" s="64"/>
    </row>
    <row r="413" ht="12.75" customHeight="1">
      <c r="A413" s="44"/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5"/>
      <c r="N413" s="74"/>
      <c r="O413" s="62"/>
      <c r="P413" s="140"/>
      <c r="Q413" s="4"/>
      <c r="R413" s="4"/>
      <c r="S413" s="4"/>
      <c r="T413" s="4"/>
      <c r="U413" s="4"/>
      <c r="V413" s="4"/>
      <c r="W413" s="4"/>
      <c r="X413" s="4"/>
      <c r="Y413" s="4"/>
    </row>
    <row r="414" ht="12.75" customHeight="1">
      <c r="A414" s="112" t="s">
        <v>760</v>
      </c>
      <c r="B414" s="113"/>
      <c r="C414" s="114"/>
      <c r="D414" s="48" t="s">
        <v>761</v>
      </c>
      <c r="E414" s="34"/>
      <c r="F414" s="34"/>
      <c r="G414" s="34"/>
      <c r="H414" s="34"/>
      <c r="I414" s="35"/>
      <c r="J414" s="49">
        <f t="shared" ref="J414:M414" si="233">SUM(J415:J422)</f>
        <v>1239.842</v>
      </c>
      <c r="K414" s="49">
        <f t="shared" si="233"/>
        <v>311.3245</v>
      </c>
      <c r="L414" s="49">
        <f t="shared" si="233"/>
        <v>1551.16</v>
      </c>
      <c r="M414" s="49">
        <f t="shared" si="233"/>
        <v>1954.61</v>
      </c>
      <c r="N414" s="74">
        <f>M414</f>
        <v>1954.61</v>
      </c>
      <c r="O414" s="62"/>
      <c r="P414" s="140"/>
      <c r="Q414" s="4"/>
      <c r="R414" s="4"/>
      <c r="S414" s="4"/>
      <c r="T414" s="4"/>
      <c r="U414" s="4"/>
      <c r="V414" s="4"/>
      <c r="W414" s="4"/>
      <c r="X414" s="4"/>
      <c r="Y414" s="4"/>
    </row>
    <row r="415">
      <c r="A415" s="122" t="s">
        <v>762</v>
      </c>
      <c r="B415" s="187" t="s">
        <v>644</v>
      </c>
      <c r="C415" s="175" t="s">
        <v>552</v>
      </c>
      <c r="D415" s="184" t="s">
        <v>553</v>
      </c>
      <c r="E415" s="185" t="s">
        <v>58</v>
      </c>
      <c r="F415" s="57">
        <v>2.0</v>
      </c>
      <c r="G415" s="58">
        <v>15.96</v>
      </c>
      <c r="H415" s="58">
        <v>16.35</v>
      </c>
      <c r="I415" s="59">
        <f t="shared" ref="I415:I422" si="234">G415+H415</f>
        <v>32.31</v>
      </c>
      <c r="J415" s="59">
        <f t="shared" ref="J415:J422" si="235">G415*F415</f>
        <v>31.92</v>
      </c>
      <c r="K415" s="59">
        <f t="shared" ref="K415:K422" si="236">H415*F415</f>
        <v>32.7</v>
      </c>
      <c r="L415" s="59">
        <f t="shared" ref="L415:L422" si="237">ROUND(J415+K415,2)</f>
        <v>64.62</v>
      </c>
      <c r="M415" s="60">
        <f t="shared" ref="M415:M422" si="238">ROUND(L415*(1+$M$4),2)</f>
        <v>81.43</v>
      </c>
      <c r="N415" s="3"/>
      <c r="O415" s="62"/>
      <c r="P415" s="140"/>
      <c r="Q415" s="4"/>
      <c r="R415" s="4"/>
      <c r="S415" s="4"/>
      <c r="T415" s="4"/>
      <c r="U415" s="4"/>
      <c r="V415" s="4"/>
      <c r="W415" s="4"/>
      <c r="X415" s="4"/>
      <c r="Y415" s="4"/>
    </row>
    <row r="416">
      <c r="A416" s="122" t="s">
        <v>763</v>
      </c>
      <c r="B416" s="187" t="s">
        <v>646</v>
      </c>
      <c r="C416" s="175" t="s">
        <v>534</v>
      </c>
      <c r="D416" s="184" t="s">
        <v>535</v>
      </c>
      <c r="E416" s="185" t="s">
        <v>43</v>
      </c>
      <c r="F416" s="57">
        <v>0.3</v>
      </c>
      <c r="G416" s="58">
        <v>16.61</v>
      </c>
      <c r="H416" s="58">
        <v>35.08</v>
      </c>
      <c r="I416" s="59">
        <f t="shared" si="234"/>
        <v>51.69</v>
      </c>
      <c r="J416" s="59">
        <f t="shared" si="235"/>
        <v>4.983</v>
      </c>
      <c r="K416" s="59">
        <f t="shared" si="236"/>
        <v>10.524</v>
      </c>
      <c r="L416" s="59">
        <f t="shared" si="237"/>
        <v>15.51</v>
      </c>
      <c r="M416" s="60">
        <f t="shared" si="238"/>
        <v>19.54</v>
      </c>
      <c r="N416" s="3"/>
      <c r="O416" s="62"/>
      <c r="P416" s="140"/>
      <c r="Q416" s="4"/>
      <c r="R416" s="4"/>
      <c r="S416" s="4"/>
      <c r="T416" s="4"/>
      <c r="U416" s="4"/>
      <c r="V416" s="4"/>
      <c r="W416" s="4"/>
      <c r="X416" s="4"/>
      <c r="Y416" s="4"/>
    </row>
    <row r="417">
      <c r="A417" s="122" t="s">
        <v>764</v>
      </c>
      <c r="B417" s="187" t="s">
        <v>648</v>
      </c>
      <c r="C417" s="175">
        <v>103325.0</v>
      </c>
      <c r="D417" s="184" t="s">
        <v>687</v>
      </c>
      <c r="E417" s="185" t="s">
        <v>58</v>
      </c>
      <c r="F417" s="57">
        <v>1.15</v>
      </c>
      <c r="G417" s="58">
        <v>53.31</v>
      </c>
      <c r="H417" s="58">
        <v>23.57</v>
      </c>
      <c r="I417" s="59">
        <f t="shared" si="234"/>
        <v>76.88</v>
      </c>
      <c r="J417" s="59">
        <f t="shared" si="235"/>
        <v>61.3065</v>
      </c>
      <c r="K417" s="59">
        <f t="shared" si="236"/>
        <v>27.1055</v>
      </c>
      <c r="L417" s="59">
        <f t="shared" si="237"/>
        <v>88.41</v>
      </c>
      <c r="M417" s="60">
        <f t="shared" si="238"/>
        <v>111.41</v>
      </c>
      <c r="N417" s="3"/>
      <c r="O417" s="62"/>
      <c r="P417" s="140"/>
      <c r="Q417" s="4"/>
      <c r="R417" s="4"/>
      <c r="S417" s="4"/>
      <c r="T417" s="4"/>
      <c r="U417" s="4"/>
      <c r="V417" s="4"/>
      <c r="W417" s="4"/>
      <c r="X417" s="4"/>
      <c r="Y417" s="4"/>
    </row>
    <row r="418">
      <c r="A418" s="122" t="s">
        <v>765</v>
      </c>
      <c r="B418" s="187" t="s">
        <v>650</v>
      </c>
      <c r="C418" s="175" t="s">
        <v>538</v>
      </c>
      <c r="D418" s="184" t="s">
        <v>676</v>
      </c>
      <c r="E418" s="185" t="s">
        <v>58</v>
      </c>
      <c r="F418" s="57">
        <v>3.35</v>
      </c>
      <c r="G418" s="58">
        <v>2.12</v>
      </c>
      <c r="H418" s="58">
        <v>1.68</v>
      </c>
      <c r="I418" s="59">
        <f t="shared" si="234"/>
        <v>3.8</v>
      </c>
      <c r="J418" s="59">
        <f t="shared" si="235"/>
        <v>7.102</v>
      </c>
      <c r="K418" s="59">
        <f t="shared" si="236"/>
        <v>5.628</v>
      </c>
      <c r="L418" s="59">
        <f t="shared" si="237"/>
        <v>12.73</v>
      </c>
      <c r="M418" s="60">
        <f t="shared" si="238"/>
        <v>16.04</v>
      </c>
      <c r="N418" s="3"/>
      <c r="O418" s="62"/>
      <c r="P418" s="140"/>
      <c r="Q418" s="4"/>
      <c r="R418" s="4"/>
      <c r="S418" s="4"/>
      <c r="T418" s="4"/>
      <c r="U418" s="4"/>
      <c r="V418" s="4"/>
      <c r="W418" s="4"/>
      <c r="X418" s="4"/>
      <c r="Y418" s="4"/>
    </row>
    <row r="419">
      <c r="A419" s="122" t="s">
        <v>766</v>
      </c>
      <c r="B419" s="187" t="s">
        <v>652</v>
      </c>
      <c r="C419" s="175" t="s">
        <v>541</v>
      </c>
      <c r="D419" s="184" t="s">
        <v>542</v>
      </c>
      <c r="E419" s="185" t="s">
        <v>58</v>
      </c>
      <c r="F419" s="57">
        <v>3.35</v>
      </c>
      <c r="G419" s="58">
        <v>25.56</v>
      </c>
      <c r="H419" s="58">
        <v>26.96</v>
      </c>
      <c r="I419" s="59">
        <f t="shared" si="234"/>
        <v>52.52</v>
      </c>
      <c r="J419" s="59">
        <f t="shared" si="235"/>
        <v>85.626</v>
      </c>
      <c r="K419" s="59">
        <f t="shared" si="236"/>
        <v>90.316</v>
      </c>
      <c r="L419" s="59">
        <f t="shared" si="237"/>
        <v>175.94</v>
      </c>
      <c r="M419" s="60">
        <f t="shared" si="238"/>
        <v>221.7</v>
      </c>
      <c r="N419" s="3"/>
      <c r="O419" s="62"/>
      <c r="P419" s="140"/>
      <c r="Q419" s="4"/>
      <c r="R419" s="4"/>
      <c r="S419" s="4"/>
      <c r="T419" s="4"/>
      <c r="U419" s="4"/>
      <c r="V419" s="4"/>
      <c r="W419" s="4"/>
      <c r="X419" s="4"/>
      <c r="Y419" s="4"/>
    </row>
    <row r="420">
      <c r="A420" s="122" t="s">
        <v>767</v>
      </c>
      <c r="B420" s="187" t="s">
        <v>654</v>
      </c>
      <c r="C420" s="175" t="s">
        <v>544</v>
      </c>
      <c r="D420" s="184" t="s">
        <v>545</v>
      </c>
      <c r="E420" s="185" t="s">
        <v>58</v>
      </c>
      <c r="F420" s="57">
        <v>3.35</v>
      </c>
      <c r="G420" s="58">
        <v>9.87</v>
      </c>
      <c r="H420" s="58">
        <v>4.4</v>
      </c>
      <c r="I420" s="59">
        <f t="shared" si="234"/>
        <v>14.27</v>
      </c>
      <c r="J420" s="59">
        <f t="shared" si="235"/>
        <v>33.0645</v>
      </c>
      <c r="K420" s="59">
        <f t="shared" si="236"/>
        <v>14.74</v>
      </c>
      <c r="L420" s="59">
        <f t="shared" si="237"/>
        <v>47.8</v>
      </c>
      <c r="M420" s="60">
        <f t="shared" si="238"/>
        <v>60.23</v>
      </c>
      <c r="N420" s="3"/>
      <c r="O420" s="62"/>
      <c r="P420" s="140"/>
      <c r="Q420" s="4"/>
      <c r="R420" s="4"/>
      <c r="S420" s="4"/>
      <c r="T420" s="4"/>
      <c r="U420" s="4"/>
      <c r="V420" s="4"/>
      <c r="W420" s="4"/>
      <c r="X420" s="4"/>
      <c r="Y420" s="4"/>
    </row>
    <row r="421">
      <c r="A421" s="122" t="s">
        <v>768</v>
      </c>
      <c r="B421" s="187" t="s">
        <v>656</v>
      </c>
      <c r="C421" s="175" t="s">
        <v>601</v>
      </c>
      <c r="D421" s="184" t="s">
        <v>602</v>
      </c>
      <c r="E421" s="185" t="s">
        <v>416</v>
      </c>
      <c r="F421" s="57">
        <v>2.1</v>
      </c>
      <c r="G421" s="58">
        <v>437.7</v>
      </c>
      <c r="H421" s="58">
        <v>54.81</v>
      </c>
      <c r="I421" s="59">
        <f t="shared" si="234"/>
        <v>492.51</v>
      </c>
      <c r="J421" s="59">
        <f t="shared" si="235"/>
        <v>919.17</v>
      </c>
      <c r="K421" s="59">
        <f t="shared" si="236"/>
        <v>115.101</v>
      </c>
      <c r="L421" s="59">
        <f t="shared" si="237"/>
        <v>1034.27</v>
      </c>
      <c r="M421" s="60">
        <f t="shared" si="238"/>
        <v>1303.28</v>
      </c>
      <c r="N421" s="3"/>
      <c r="O421" s="62"/>
      <c r="P421" s="140"/>
      <c r="Q421" s="4"/>
      <c r="R421" s="4"/>
      <c r="S421" s="4"/>
      <c r="T421" s="4"/>
      <c r="U421" s="4"/>
      <c r="V421" s="4"/>
      <c r="W421" s="4"/>
      <c r="X421" s="4"/>
      <c r="Y421" s="4"/>
    </row>
    <row r="422">
      <c r="A422" s="122" t="s">
        <v>769</v>
      </c>
      <c r="B422" s="187" t="s">
        <v>658</v>
      </c>
      <c r="C422" s="175" t="s">
        <v>548</v>
      </c>
      <c r="D422" s="184" t="s">
        <v>549</v>
      </c>
      <c r="E422" s="185" t="s">
        <v>51</v>
      </c>
      <c r="F422" s="57">
        <v>1.0</v>
      </c>
      <c r="G422" s="58">
        <v>96.67</v>
      </c>
      <c r="H422" s="58">
        <v>15.21</v>
      </c>
      <c r="I422" s="59">
        <f t="shared" si="234"/>
        <v>111.88</v>
      </c>
      <c r="J422" s="59">
        <f t="shared" si="235"/>
        <v>96.67</v>
      </c>
      <c r="K422" s="59">
        <f t="shared" si="236"/>
        <v>15.21</v>
      </c>
      <c r="L422" s="59">
        <f t="shared" si="237"/>
        <v>111.88</v>
      </c>
      <c r="M422" s="60">
        <f t="shared" si="238"/>
        <v>140.98</v>
      </c>
      <c r="N422" s="3"/>
      <c r="O422" s="62"/>
      <c r="P422" s="140"/>
      <c r="Q422" s="4"/>
      <c r="R422" s="4"/>
      <c r="S422" s="4"/>
      <c r="T422" s="4"/>
      <c r="U422" s="4"/>
      <c r="V422" s="4"/>
      <c r="W422" s="4"/>
      <c r="X422" s="4"/>
      <c r="Y422" s="4"/>
    </row>
    <row r="423" ht="12.75" customHeight="1">
      <c r="A423" s="44"/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5"/>
      <c r="N423" s="74"/>
      <c r="O423" s="62"/>
      <c r="P423" s="140"/>
      <c r="Q423" s="4"/>
      <c r="R423" s="4"/>
      <c r="S423" s="4"/>
      <c r="T423" s="4"/>
      <c r="U423" s="4"/>
      <c r="V423" s="4"/>
      <c r="W423" s="4"/>
      <c r="X423" s="4"/>
      <c r="Y423" s="4"/>
    </row>
    <row r="424" ht="12.75" customHeight="1">
      <c r="A424" s="112" t="s">
        <v>770</v>
      </c>
      <c r="B424" s="113"/>
      <c r="C424" s="114"/>
      <c r="D424" s="48" t="s">
        <v>771</v>
      </c>
      <c r="E424" s="34"/>
      <c r="F424" s="34"/>
      <c r="G424" s="34"/>
      <c r="H424" s="34"/>
      <c r="I424" s="35"/>
      <c r="J424" s="49">
        <f t="shared" ref="J424:M424" si="239">SUM(J425:J429)</f>
        <v>47126.058</v>
      </c>
      <c r="K424" s="49">
        <f t="shared" si="239"/>
        <v>5242.614</v>
      </c>
      <c r="L424" s="49">
        <f t="shared" si="239"/>
        <v>52368.67</v>
      </c>
      <c r="M424" s="49">
        <f t="shared" si="239"/>
        <v>65989.77</v>
      </c>
      <c r="N424" s="74">
        <f>M424</f>
        <v>65989.77</v>
      </c>
      <c r="O424" s="62"/>
      <c r="P424" s="140"/>
      <c r="Q424" s="4"/>
      <c r="R424" s="4"/>
      <c r="S424" s="4"/>
      <c r="T424" s="4"/>
      <c r="U424" s="4"/>
      <c r="V424" s="4"/>
      <c r="W424" s="4"/>
      <c r="X424" s="4"/>
      <c r="Y424" s="4"/>
    </row>
    <row r="425">
      <c r="A425" s="93" t="s">
        <v>772</v>
      </c>
      <c r="B425" s="155" t="s">
        <v>773</v>
      </c>
      <c r="C425" s="156" t="s">
        <v>534</v>
      </c>
      <c r="D425" s="177" t="s">
        <v>535</v>
      </c>
      <c r="E425" s="120" t="s">
        <v>43</v>
      </c>
      <c r="F425" s="57">
        <f>2*2*0.2</f>
        <v>0.8</v>
      </c>
      <c r="G425" s="99">
        <v>16.61</v>
      </c>
      <c r="H425" s="99">
        <v>35.08</v>
      </c>
      <c r="I425" s="59">
        <f t="shared" ref="I425:I429" si="240">G425+H425</f>
        <v>51.69</v>
      </c>
      <c r="J425" s="59">
        <f t="shared" ref="J425:J429" si="241">G425*F425</f>
        <v>13.288</v>
      </c>
      <c r="K425" s="59">
        <f t="shared" ref="K425:K429" si="242">H425*F425</f>
        <v>28.064</v>
      </c>
      <c r="L425" s="59">
        <f t="shared" ref="L425:L429" si="243">ROUND(J425+K425,2)</f>
        <v>41.35</v>
      </c>
      <c r="M425" s="60">
        <f t="shared" ref="M425:M429" si="244">ROUND(L425*(1+$M$4),2)</f>
        <v>52.11</v>
      </c>
      <c r="N425" s="61"/>
      <c r="O425" s="62"/>
      <c r="P425" s="140"/>
      <c r="Q425" s="64"/>
      <c r="R425" s="64"/>
      <c r="S425" s="64"/>
      <c r="T425" s="64"/>
      <c r="U425" s="64"/>
      <c r="V425" s="64"/>
      <c r="W425" s="64"/>
      <c r="X425" s="64"/>
      <c r="Y425" s="64"/>
    </row>
    <row r="426">
      <c r="A426" s="93" t="s">
        <v>774</v>
      </c>
      <c r="B426" s="155" t="s">
        <v>775</v>
      </c>
      <c r="C426" s="156" t="s">
        <v>538</v>
      </c>
      <c r="D426" s="177" t="s">
        <v>676</v>
      </c>
      <c r="E426" s="120" t="s">
        <v>58</v>
      </c>
      <c r="F426" s="57">
        <v>2.0</v>
      </c>
      <c r="G426" s="99">
        <v>2.12</v>
      </c>
      <c r="H426" s="99">
        <v>1.68</v>
      </c>
      <c r="I426" s="59">
        <f t="shared" si="240"/>
        <v>3.8</v>
      </c>
      <c r="J426" s="59">
        <f t="shared" si="241"/>
        <v>4.24</v>
      </c>
      <c r="K426" s="59">
        <f t="shared" si="242"/>
        <v>3.36</v>
      </c>
      <c r="L426" s="59">
        <f t="shared" si="243"/>
        <v>7.6</v>
      </c>
      <c r="M426" s="60">
        <f t="shared" si="244"/>
        <v>9.58</v>
      </c>
      <c r="N426" s="61"/>
      <c r="O426" s="62"/>
      <c r="P426" s="140"/>
      <c r="Q426" s="64"/>
      <c r="R426" s="64"/>
      <c r="S426" s="64"/>
      <c r="T426" s="64"/>
      <c r="U426" s="64"/>
      <c r="V426" s="64"/>
      <c r="W426" s="64"/>
      <c r="X426" s="64"/>
      <c r="Y426" s="64"/>
    </row>
    <row r="427">
      <c r="A427" s="93" t="s">
        <v>776</v>
      </c>
      <c r="B427" s="155" t="s">
        <v>775</v>
      </c>
      <c r="C427" s="156" t="s">
        <v>541</v>
      </c>
      <c r="D427" s="177" t="s">
        <v>542</v>
      </c>
      <c r="E427" s="120" t="s">
        <v>58</v>
      </c>
      <c r="F427" s="57">
        <v>2.0</v>
      </c>
      <c r="G427" s="99">
        <v>25.56</v>
      </c>
      <c r="H427" s="99">
        <v>26.96</v>
      </c>
      <c r="I427" s="59">
        <f t="shared" si="240"/>
        <v>52.52</v>
      </c>
      <c r="J427" s="59">
        <f t="shared" si="241"/>
        <v>51.12</v>
      </c>
      <c r="K427" s="59">
        <f t="shared" si="242"/>
        <v>53.92</v>
      </c>
      <c r="L427" s="59">
        <f t="shared" si="243"/>
        <v>105.04</v>
      </c>
      <c r="M427" s="60">
        <f t="shared" si="244"/>
        <v>132.36</v>
      </c>
      <c r="N427" s="61"/>
      <c r="O427" s="62"/>
      <c r="P427" s="140"/>
      <c r="Q427" s="64"/>
      <c r="R427" s="64"/>
      <c r="S427" s="64"/>
      <c r="T427" s="64"/>
      <c r="U427" s="64"/>
      <c r="V427" s="64"/>
      <c r="W427" s="64"/>
      <c r="X427" s="64"/>
      <c r="Y427" s="64"/>
    </row>
    <row r="428">
      <c r="A428" s="93" t="s">
        <v>777</v>
      </c>
      <c r="B428" s="155" t="s">
        <v>775</v>
      </c>
      <c r="C428" s="156" t="s">
        <v>544</v>
      </c>
      <c r="D428" s="177" t="s">
        <v>545</v>
      </c>
      <c r="E428" s="120" t="s">
        <v>58</v>
      </c>
      <c r="F428" s="57">
        <v>4.0</v>
      </c>
      <c r="G428" s="99">
        <v>9.87</v>
      </c>
      <c r="H428" s="99">
        <v>4.4</v>
      </c>
      <c r="I428" s="59">
        <f t="shared" si="240"/>
        <v>14.27</v>
      </c>
      <c r="J428" s="59">
        <f t="shared" si="241"/>
        <v>39.48</v>
      </c>
      <c r="K428" s="59">
        <f t="shared" si="242"/>
        <v>17.6</v>
      </c>
      <c r="L428" s="59">
        <f t="shared" si="243"/>
        <v>57.08</v>
      </c>
      <c r="M428" s="60">
        <f t="shared" si="244"/>
        <v>71.93</v>
      </c>
      <c r="N428" s="61"/>
      <c r="O428" s="62"/>
      <c r="P428" s="140"/>
      <c r="Q428" s="64"/>
      <c r="R428" s="64"/>
      <c r="S428" s="64"/>
      <c r="T428" s="64"/>
      <c r="U428" s="64"/>
      <c r="V428" s="64"/>
      <c r="W428" s="64"/>
      <c r="X428" s="64"/>
      <c r="Y428" s="64"/>
    </row>
    <row r="429">
      <c r="A429" s="93" t="s">
        <v>778</v>
      </c>
      <c r="B429" s="155" t="s">
        <v>779</v>
      </c>
      <c r="C429" s="156" t="s">
        <v>780</v>
      </c>
      <c r="D429" s="177" t="s">
        <v>781</v>
      </c>
      <c r="E429" s="120" t="s">
        <v>572</v>
      </c>
      <c r="F429" s="57">
        <v>1.0</v>
      </c>
      <c r="G429" s="99">
        <f>ROUND('COMPOSIÇÕES'!I72,2)</f>
        <v>47017.93</v>
      </c>
      <c r="H429" s="99">
        <f>ROUND('COMPOSIÇÕES'!J72,2)</f>
        <v>5139.67</v>
      </c>
      <c r="I429" s="59">
        <f t="shared" si="240"/>
        <v>52157.6</v>
      </c>
      <c r="J429" s="59">
        <f t="shared" si="241"/>
        <v>47017.93</v>
      </c>
      <c r="K429" s="59">
        <f t="shared" si="242"/>
        <v>5139.67</v>
      </c>
      <c r="L429" s="59">
        <f t="shared" si="243"/>
        <v>52157.6</v>
      </c>
      <c r="M429" s="60">
        <f t="shared" si="244"/>
        <v>65723.79</v>
      </c>
      <c r="N429" s="61"/>
      <c r="O429" s="62"/>
      <c r="P429" s="140"/>
      <c r="Q429" s="64"/>
      <c r="R429" s="64"/>
      <c r="S429" s="64"/>
      <c r="T429" s="64"/>
      <c r="U429" s="64"/>
      <c r="V429" s="64"/>
      <c r="W429" s="64"/>
      <c r="X429" s="64"/>
      <c r="Y429" s="64"/>
    </row>
    <row r="430">
      <c r="A430" s="93"/>
      <c r="B430" s="155"/>
      <c r="C430" s="156"/>
      <c r="D430" s="177"/>
      <c r="E430" s="120"/>
      <c r="F430" s="57"/>
      <c r="G430" s="99"/>
      <c r="H430" s="99"/>
      <c r="I430" s="59"/>
      <c r="J430" s="59"/>
      <c r="K430" s="59"/>
      <c r="L430" s="59"/>
      <c r="M430" s="60"/>
      <c r="N430" s="61"/>
      <c r="O430" s="62"/>
      <c r="P430" s="140"/>
      <c r="Q430" s="64"/>
      <c r="R430" s="64"/>
      <c r="S430" s="64"/>
      <c r="T430" s="64"/>
      <c r="U430" s="64"/>
      <c r="V430" s="64"/>
      <c r="W430" s="64"/>
      <c r="X430" s="64"/>
      <c r="Y430" s="64"/>
    </row>
    <row r="431">
      <c r="A431" s="112" t="s">
        <v>782</v>
      </c>
      <c r="B431" s="113"/>
      <c r="C431" s="114"/>
      <c r="D431" s="48" t="s">
        <v>783</v>
      </c>
      <c r="E431" s="34"/>
      <c r="F431" s="34"/>
      <c r="G431" s="34"/>
      <c r="H431" s="34"/>
      <c r="I431" s="35"/>
      <c r="J431" s="49">
        <f t="shared" ref="J431:M431" si="245">SUM(J432:J435)</f>
        <v>585.4</v>
      </c>
      <c r="K431" s="49">
        <f t="shared" si="245"/>
        <v>675.7</v>
      </c>
      <c r="L431" s="49">
        <f t="shared" si="245"/>
        <v>1261.1</v>
      </c>
      <c r="M431" s="49">
        <f t="shared" si="245"/>
        <v>1589.11</v>
      </c>
      <c r="N431" s="74">
        <f>M431</f>
        <v>1589.11</v>
      </c>
      <c r="O431" s="62"/>
      <c r="P431" s="140"/>
      <c r="Q431" s="64"/>
      <c r="R431" s="64"/>
      <c r="S431" s="64"/>
      <c r="T431" s="64"/>
      <c r="U431" s="64"/>
      <c r="V431" s="64"/>
      <c r="W431" s="64"/>
      <c r="X431" s="64"/>
      <c r="Y431" s="64"/>
    </row>
    <row r="432">
      <c r="A432" s="93" t="s">
        <v>784</v>
      </c>
      <c r="B432" s="155" t="s">
        <v>785</v>
      </c>
      <c r="C432" s="156">
        <v>97113.0</v>
      </c>
      <c r="D432" s="177" t="s">
        <v>786</v>
      </c>
      <c r="E432" s="120" t="s">
        <v>688</v>
      </c>
      <c r="F432" s="57">
        <v>70.0</v>
      </c>
      <c r="G432" s="99">
        <v>2.47</v>
      </c>
      <c r="H432" s="99">
        <v>0.16</v>
      </c>
      <c r="I432" s="59">
        <f t="shared" ref="I432:I435" si="246">G432+H432</f>
        <v>2.63</v>
      </c>
      <c r="J432" s="59">
        <f t="shared" ref="J432:J435" si="247">G432*F432</f>
        <v>172.9</v>
      </c>
      <c r="K432" s="59">
        <f t="shared" ref="K432:K435" si="248">H432*F432</f>
        <v>11.2</v>
      </c>
      <c r="L432" s="59">
        <f t="shared" ref="L432:L435" si="249">ROUND(J432+K432,2)</f>
        <v>184.1</v>
      </c>
      <c r="M432" s="60">
        <f t="shared" ref="M432:M435" si="250">ROUND(L432*(1+$M$4),2)</f>
        <v>231.98</v>
      </c>
      <c r="N432" s="61"/>
      <c r="O432" s="62"/>
      <c r="P432" s="140"/>
      <c r="Q432" s="64"/>
      <c r="R432" s="64"/>
      <c r="S432" s="64"/>
      <c r="T432" s="64"/>
      <c r="U432" s="64"/>
      <c r="V432" s="64"/>
      <c r="W432" s="64"/>
      <c r="X432" s="64"/>
      <c r="Y432" s="64"/>
    </row>
    <row r="433">
      <c r="A433" s="93" t="s">
        <v>787</v>
      </c>
      <c r="B433" s="155" t="s">
        <v>788</v>
      </c>
      <c r="C433" s="156" t="s">
        <v>789</v>
      </c>
      <c r="D433" s="177" t="s">
        <v>790</v>
      </c>
      <c r="E433" s="120" t="s">
        <v>688</v>
      </c>
      <c r="F433" s="57">
        <v>250.0</v>
      </c>
      <c r="G433" s="99">
        <v>0.6</v>
      </c>
      <c r="H433" s="99">
        <v>1.31</v>
      </c>
      <c r="I433" s="59">
        <f t="shared" si="246"/>
        <v>1.91</v>
      </c>
      <c r="J433" s="59">
        <f t="shared" si="247"/>
        <v>150</v>
      </c>
      <c r="K433" s="59">
        <f t="shared" si="248"/>
        <v>327.5</v>
      </c>
      <c r="L433" s="59">
        <f t="shared" si="249"/>
        <v>477.5</v>
      </c>
      <c r="M433" s="60">
        <f t="shared" si="250"/>
        <v>601.7</v>
      </c>
      <c r="N433" s="61"/>
      <c r="O433" s="62"/>
      <c r="P433" s="140"/>
      <c r="Q433" s="64"/>
      <c r="R433" s="64"/>
      <c r="S433" s="64"/>
      <c r="T433" s="64"/>
      <c r="U433" s="64"/>
      <c r="V433" s="64"/>
      <c r="W433" s="64"/>
      <c r="X433" s="64"/>
      <c r="Y433" s="64"/>
    </row>
    <row r="434">
      <c r="A434" s="93" t="s">
        <v>791</v>
      </c>
      <c r="B434" s="155" t="s">
        <v>792</v>
      </c>
      <c r="C434" s="156" t="s">
        <v>793</v>
      </c>
      <c r="D434" s="177" t="s">
        <v>794</v>
      </c>
      <c r="E434" s="120" t="s">
        <v>721</v>
      </c>
      <c r="F434" s="57">
        <v>25.0</v>
      </c>
      <c r="G434" s="99">
        <v>3.07</v>
      </c>
      <c r="H434" s="99">
        <f>15.41-G434</f>
        <v>12.34</v>
      </c>
      <c r="I434" s="59">
        <f t="shared" si="246"/>
        <v>15.41</v>
      </c>
      <c r="J434" s="59">
        <f t="shared" si="247"/>
        <v>76.75</v>
      </c>
      <c r="K434" s="59">
        <f t="shared" si="248"/>
        <v>308.5</v>
      </c>
      <c r="L434" s="59">
        <f t="shared" si="249"/>
        <v>385.25</v>
      </c>
      <c r="M434" s="60">
        <f t="shared" si="250"/>
        <v>485.45</v>
      </c>
      <c r="N434" s="61"/>
      <c r="O434" s="62"/>
      <c r="P434" s="140"/>
      <c r="Q434" s="64"/>
      <c r="R434" s="64"/>
      <c r="S434" s="64"/>
      <c r="T434" s="64"/>
      <c r="U434" s="64"/>
      <c r="V434" s="64"/>
      <c r="W434" s="64"/>
      <c r="X434" s="64"/>
      <c r="Y434" s="64"/>
    </row>
    <row r="435">
      <c r="A435" s="93" t="s">
        <v>795</v>
      </c>
      <c r="B435" s="155" t="s">
        <v>796</v>
      </c>
      <c r="C435" s="156">
        <v>100981.0</v>
      </c>
      <c r="D435" s="177" t="s">
        <v>797</v>
      </c>
      <c r="E435" s="120" t="s">
        <v>721</v>
      </c>
      <c r="F435" s="57">
        <v>25.0</v>
      </c>
      <c r="G435" s="99">
        <v>7.43</v>
      </c>
      <c r="H435" s="99">
        <v>1.14</v>
      </c>
      <c r="I435" s="59">
        <f t="shared" si="246"/>
        <v>8.57</v>
      </c>
      <c r="J435" s="59">
        <f t="shared" si="247"/>
        <v>185.75</v>
      </c>
      <c r="K435" s="59">
        <f t="shared" si="248"/>
        <v>28.5</v>
      </c>
      <c r="L435" s="59">
        <f t="shared" si="249"/>
        <v>214.25</v>
      </c>
      <c r="M435" s="60">
        <f t="shared" si="250"/>
        <v>269.98</v>
      </c>
      <c r="N435" s="61"/>
      <c r="O435" s="62"/>
      <c r="P435" s="140"/>
      <c r="Q435" s="64"/>
      <c r="R435" s="64"/>
      <c r="S435" s="64"/>
      <c r="T435" s="64"/>
      <c r="U435" s="64"/>
      <c r="V435" s="64"/>
      <c r="W435" s="64"/>
      <c r="X435" s="64"/>
      <c r="Y435" s="64"/>
    </row>
    <row r="436" ht="12.75" customHeight="1">
      <c r="A436" s="44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5"/>
      <c r="N436" s="74"/>
      <c r="O436" s="62"/>
      <c r="P436" s="140"/>
      <c r="Q436" s="4"/>
      <c r="R436" s="4"/>
      <c r="S436" s="4"/>
      <c r="T436" s="4"/>
      <c r="U436" s="4"/>
      <c r="V436" s="4"/>
      <c r="W436" s="4"/>
      <c r="X436" s="4"/>
      <c r="Y436" s="4"/>
    </row>
    <row r="437" ht="12.75" customHeight="1">
      <c r="A437" s="193"/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5"/>
      <c r="N437" s="3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 ht="12.75" customHeight="1">
      <c r="A438" s="6"/>
      <c r="B438" s="194"/>
      <c r="C438" s="195"/>
      <c r="D438" s="4"/>
      <c r="E438" s="39"/>
      <c r="F438" s="196"/>
      <c r="G438" s="197"/>
      <c r="H438" s="197"/>
      <c r="I438" s="16"/>
      <c r="J438" s="16"/>
      <c r="K438" s="16"/>
      <c r="L438" s="16"/>
      <c r="M438" s="16"/>
      <c r="N438" s="3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 ht="12.75" customHeight="1">
      <c r="A439" s="6"/>
      <c r="B439" s="194"/>
      <c r="C439" s="195"/>
      <c r="D439" s="4"/>
      <c r="E439" s="39"/>
      <c r="F439" s="196"/>
      <c r="G439" s="197"/>
      <c r="H439" s="197"/>
      <c r="I439" s="16"/>
      <c r="J439" s="16"/>
      <c r="K439" s="16"/>
      <c r="L439" s="16"/>
      <c r="M439" s="16"/>
      <c r="N439" s="3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 ht="12.75" customHeight="1">
      <c r="A440" s="6"/>
      <c r="B440" s="194"/>
      <c r="C440" s="195"/>
      <c r="D440" s="4"/>
      <c r="E440" s="39"/>
      <c r="F440" s="196"/>
      <c r="G440" s="197"/>
      <c r="H440" s="197"/>
      <c r="I440" s="16"/>
      <c r="J440" s="16"/>
      <c r="K440" s="16"/>
      <c r="L440" s="16"/>
      <c r="M440" s="16"/>
      <c r="N440" s="3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 ht="12.75" customHeight="1">
      <c r="A441" s="6"/>
      <c r="B441" s="194"/>
      <c r="C441" s="195"/>
      <c r="D441" s="4"/>
      <c r="E441" s="39"/>
      <c r="F441" s="196"/>
      <c r="G441" s="197"/>
      <c r="H441" s="197"/>
      <c r="I441" s="16"/>
      <c r="J441" s="16"/>
      <c r="K441" s="16"/>
      <c r="L441" s="16"/>
      <c r="M441" s="16"/>
      <c r="N441" s="3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 ht="12.75" customHeight="1">
      <c r="A442" s="6"/>
      <c r="B442" s="194"/>
      <c r="C442" s="195"/>
      <c r="D442" s="4"/>
      <c r="E442" s="39"/>
      <c r="F442" s="196"/>
      <c r="G442" s="197"/>
      <c r="H442" s="197"/>
      <c r="I442" s="16"/>
      <c r="J442" s="16"/>
      <c r="K442" s="16"/>
      <c r="L442" s="16"/>
      <c r="M442" s="16"/>
      <c r="N442" s="3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 ht="12.75" customHeight="1">
      <c r="A443" s="6"/>
      <c r="B443" s="194"/>
      <c r="C443" s="195"/>
      <c r="D443" s="4"/>
      <c r="E443" s="39"/>
      <c r="F443" s="196"/>
      <c r="G443" s="197"/>
      <c r="H443" s="197"/>
      <c r="I443" s="16"/>
      <c r="J443" s="16"/>
      <c r="K443" s="16"/>
      <c r="L443" s="16"/>
      <c r="M443" s="16"/>
      <c r="N443" s="3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 ht="12.75" customHeight="1">
      <c r="A444" s="6"/>
      <c r="B444" s="194"/>
      <c r="C444" s="195"/>
      <c r="D444" s="4"/>
      <c r="E444" s="39"/>
      <c r="F444" s="196"/>
      <c r="G444" s="197"/>
      <c r="H444" s="197"/>
      <c r="I444" s="16"/>
      <c r="J444" s="16"/>
      <c r="K444" s="16"/>
      <c r="L444" s="16"/>
      <c r="M444" s="16"/>
      <c r="N444" s="3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 ht="12.75" customHeight="1">
      <c r="A445" s="6"/>
      <c r="B445" s="194"/>
      <c r="C445" s="195"/>
      <c r="D445" s="4"/>
      <c r="E445" s="39"/>
      <c r="F445" s="196"/>
      <c r="G445" s="197"/>
      <c r="H445" s="197"/>
      <c r="I445" s="16"/>
      <c r="J445" s="16"/>
      <c r="K445" s="16"/>
      <c r="L445" s="16"/>
      <c r="M445" s="16"/>
      <c r="N445" s="3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 ht="12.75" customHeight="1">
      <c r="A446" s="6"/>
      <c r="B446" s="194"/>
      <c r="C446" s="195"/>
      <c r="D446" s="4"/>
      <c r="E446" s="39"/>
      <c r="F446" s="196"/>
      <c r="G446" s="197"/>
      <c r="H446" s="197"/>
      <c r="I446" s="16"/>
      <c r="J446" s="16"/>
      <c r="K446" s="16"/>
      <c r="L446" s="16"/>
      <c r="M446" s="16"/>
      <c r="N446" s="3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 ht="12.75" customHeight="1">
      <c r="A447" s="6"/>
      <c r="B447" s="194"/>
      <c r="C447" s="195"/>
      <c r="D447" s="4"/>
      <c r="E447" s="39"/>
      <c r="F447" s="196"/>
      <c r="G447" s="197"/>
      <c r="H447" s="197"/>
      <c r="I447" s="16"/>
      <c r="J447" s="16"/>
      <c r="K447" s="16"/>
      <c r="L447" s="16"/>
      <c r="M447" s="16"/>
      <c r="N447" s="3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 ht="12.75" customHeight="1">
      <c r="A448" s="6"/>
      <c r="B448" s="194"/>
      <c r="C448" s="195"/>
      <c r="D448" s="4"/>
      <c r="E448" s="39"/>
      <c r="F448" s="196"/>
      <c r="G448" s="197"/>
      <c r="H448" s="197"/>
      <c r="I448" s="16"/>
      <c r="J448" s="16"/>
      <c r="K448" s="16"/>
      <c r="L448" s="16"/>
      <c r="M448" s="16"/>
      <c r="N448" s="3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 ht="12.75" customHeight="1">
      <c r="A449" s="6"/>
      <c r="B449" s="194"/>
      <c r="C449" s="195"/>
      <c r="D449" s="4"/>
      <c r="E449" s="39"/>
      <c r="F449" s="196"/>
      <c r="G449" s="197"/>
      <c r="H449" s="197"/>
      <c r="I449" s="16"/>
      <c r="J449" s="16"/>
      <c r="K449" s="16"/>
      <c r="L449" s="16"/>
      <c r="M449" s="16"/>
      <c r="N449" s="3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 ht="12.75" customHeight="1">
      <c r="A450" s="6"/>
      <c r="B450" s="194"/>
      <c r="C450" s="195"/>
      <c r="D450" s="4"/>
      <c r="E450" s="39"/>
      <c r="F450" s="196"/>
      <c r="G450" s="197"/>
      <c r="H450" s="197"/>
      <c r="I450" s="16"/>
      <c r="J450" s="16"/>
      <c r="K450" s="16"/>
      <c r="L450" s="16"/>
      <c r="M450" s="16"/>
      <c r="N450" s="3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 ht="12.75" customHeight="1">
      <c r="A451" s="6"/>
      <c r="B451" s="194"/>
      <c r="C451" s="195"/>
      <c r="D451" s="4"/>
      <c r="E451" s="39"/>
      <c r="F451" s="196"/>
      <c r="G451" s="197"/>
      <c r="H451" s="197"/>
      <c r="I451" s="16"/>
      <c r="J451" s="16"/>
      <c r="K451" s="16"/>
      <c r="L451" s="16"/>
      <c r="M451" s="16"/>
      <c r="N451" s="3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 ht="12.75" customHeight="1">
      <c r="A452" s="6"/>
      <c r="B452" s="194"/>
      <c r="C452" s="195"/>
      <c r="D452" s="4"/>
      <c r="E452" s="39"/>
      <c r="F452" s="196"/>
      <c r="G452" s="197"/>
      <c r="H452" s="197"/>
      <c r="I452" s="16"/>
      <c r="J452" s="16"/>
      <c r="K452" s="16"/>
      <c r="L452" s="16"/>
      <c r="M452" s="16"/>
      <c r="N452" s="3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 ht="12.75" customHeight="1">
      <c r="A453" s="6"/>
      <c r="B453" s="194"/>
      <c r="C453" s="195"/>
      <c r="D453" s="4"/>
      <c r="E453" s="39"/>
      <c r="F453" s="196"/>
      <c r="G453" s="197"/>
      <c r="H453" s="197"/>
      <c r="I453" s="16"/>
      <c r="J453" s="16"/>
      <c r="K453" s="16"/>
      <c r="L453" s="16"/>
      <c r="M453" s="16"/>
      <c r="N453" s="3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 ht="12.75" customHeight="1">
      <c r="A454" s="6"/>
      <c r="B454" s="194"/>
      <c r="C454" s="195"/>
      <c r="D454" s="4"/>
      <c r="E454" s="39"/>
      <c r="F454" s="196"/>
      <c r="G454" s="197"/>
      <c r="H454" s="197"/>
      <c r="I454" s="16"/>
      <c r="J454" s="16"/>
      <c r="K454" s="16"/>
      <c r="L454" s="16"/>
      <c r="M454" s="16"/>
      <c r="N454" s="3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 ht="12.75" customHeight="1">
      <c r="A455" s="6"/>
      <c r="B455" s="194"/>
      <c r="C455" s="195"/>
      <c r="D455" s="4"/>
      <c r="E455" s="39"/>
      <c r="F455" s="196"/>
      <c r="G455" s="197"/>
      <c r="H455" s="197"/>
      <c r="I455" s="16"/>
      <c r="J455" s="16"/>
      <c r="K455" s="16"/>
      <c r="L455" s="16"/>
      <c r="M455" s="16"/>
      <c r="N455" s="3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 ht="12.75" customHeight="1">
      <c r="A456" s="6"/>
      <c r="B456" s="194"/>
      <c r="C456" s="195"/>
      <c r="D456" s="4"/>
      <c r="E456" s="39"/>
      <c r="F456" s="196"/>
      <c r="G456" s="197"/>
      <c r="H456" s="197"/>
      <c r="I456" s="16"/>
      <c r="J456" s="16"/>
      <c r="K456" s="16"/>
      <c r="L456" s="16"/>
      <c r="M456" s="16"/>
      <c r="N456" s="3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 ht="12.75" customHeight="1">
      <c r="A457" s="6"/>
      <c r="B457" s="194"/>
      <c r="C457" s="195"/>
      <c r="D457" s="4"/>
      <c r="E457" s="39"/>
      <c r="F457" s="196"/>
      <c r="G457" s="197"/>
      <c r="H457" s="197"/>
      <c r="I457" s="16"/>
      <c r="J457" s="16"/>
      <c r="K457" s="16"/>
      <c r="L457" s="16"/>
      <c r="M457" s="16"/>
      <c r="N457" s="3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 ht="12.75" customHeight="1">
      <c r="A458" s="6"/>
      <c r="B458" s="194"/>
      <c r="C458" s="195"/>
      <c r="D458" s="4"/>
      <c r="E458" s="39"/>
      <c r="F458" s="196"/>
      <c r="G458" s="197"/>
      <c r="H458" s="197"/>
      <c r="I458" s="16"/>
      <c r="J458" s="16"/>
      <c r="K458" s="16"/>
      <c r="L458" s="16"/>
      <c r="M458" s="16"/>
      <c r="N458" s="3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ht="12.75" customHeight="1">
      <c r="A459" s="6"/>
      <c r="B459" s="194"/>
      <c r="C459" s="195"/>
      <c r="D459" s="4"/>
      <c r="E459" s="39"/>
      <c r="F459" s="196"/>
      <c r="G459" s="197"/>
      <c r="H459" s="197"/>
      <c r="I459" s="16"/>
      <c r="J459" s="16"/>
      <c r="K459" s="16"/>
      <c r="L459" s="16"/>
      <c r="M459" s="16"/>
      <c r="N459" s="3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 ht="12.75" customHeight="1">
      <c r="A460" s="6"/>
      <c r="B460" s="194"/>
      <c r="C460" s="195"/>
      <c r="D460" s="4"/>
      <c r="E460" s="39"/>
      <c r="F460" s="196"/>
      <c r="G460" s="197"/>
      <c r="H460" s="197"/>
      <c r="I460" s="16"/>
      <c r="J460" s="16"/>
      <c r="K460" s="16"/>
      <c r="L460" s="16"/>
      <c r="M460" s="16"/>
      <c r="N460" s="3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 ht="12.75" customHeight="1">
      <c r="A461" s="6"/>
      <c r="B461" s="194"/>
      <c r="C461" s="195"/>
      <c r="D461" s="4"/>
      <c r="E461" s="39"/>
      <c r="F461" s="196"/>
      <c r="G461" s="197"/>
      <c r="H461" s="197"/>
      <c r="I461" s="16"/>
      <c r="J461" s="16"/>
      <c r="K461" s="16"/>
      <c r="L461" s="16"/>
      <c r="M461" s="16"/>
      <c r="N461" s="3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 ht="12.75" customHeight="1">
      <c r="A462" s="6"/>
      <c r="B462" s="194"/>
      <c r="C462" s="195"/>
      <c r="D462" s="4"/>
      <c r="E462" s="39"/>
      <c r="F462" s="196"/>
      <c r="G462" s="197"/>
      <c r="H462" s="197"/>
      <c r="I462" s="16"/>
      <c r="J462" s="16"/>
      <c r="K462" s="16"/>
      <c r="L462" s="16"/>
      <c r="M462" s="16"/>
      <c r="N462" s="3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 ht="12.75" customHeight="1">
      <c r="A463" s="6"/>
      <c r="B463" s="194"/>
      <c r="C463" s="195"/>
      <c r="D463" s="4"/>
      <c r="E463" s="39"/>
      <c r="F463" s="196"/>
      <c r="G463" s="197"/>
      <c r="H463" s="197"/>
      <c r="I463" s="16"/>
      <c r="J463" s="16"/>
      <c r="K463" s="16"/>
      <c r="L463" s="16"/>
      <c r="M463" s="16"/>
      <c r="N463" s="3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 ht="12.75" customHeight="1">
      <c r="A464" s="6"/>
      <c r="B464" s="194"/>
      <c r="C464" s="195"/>
      <c r="D464" s="4"/>
      <c r="E464" s="39"/>
      <c r="F464" s="196"/>
      <c r="G464" s="197"/>
      <c r="H464" s="197"/>
      <c r="I464" s="16"/>
      <c r="J464" s="16"/>
      <c r="K464" s="16"/>
      <c r="L464" s="16"/>
      <c r="M464" s="16"/>
      <c r="N464" s="3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 ht="12.75" customHeight="1">
      <c r="A465" s="6"/>
      <c r="B465" s="194"/>
      <c r="C465" s="195"/>
      <c r="D465" s="4"/>
      <c r="E465" s="39"/>
      <c r="F465" s="196"/>
      <c r="G465" s="197"/>
      <c r="H465" s="197"/>
      <c r="I465" s="16"/>
      <c r="J465" s="16"/>
      <c r="K465" s="16"/>
      <c r="L465" s="16"/>
      <c r="M465" s="16"/>
      <c r="N465" s="3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 ht="12.75" customHeight="1">
      <c r="A466" s="6"/>
      <c r="B466" s="194"/>
      <c r="C466" s="195"/>
      <c r="D466" s="4"/>
      <c r="E466" s="39"/>
      <c r="F466" s="196"/>
      <c r="G466" s="197"/>
      <c r="H466" s="197"/>
      <c r="I466" s="16"/>
      <c r="J466" s="16"/>
      <c r="K466" s="16"/>
      <c r="L466" s="16"/>
      <c r="M466" s="16"/>
      <c r="N466" s="3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 ht="12.75" customHeight="1">
      <c r="A467" s="6"/>
      <c r="B467" s="194"/>
      <c r="C467" s="195"/>
      <c r="D467" s="4"/>
      <c r="E467" s="39"/>
      <c r="F467" s="196"/>
      <c r="G467" s="197"/>
      <c r="H467" s="197"/>
      <c r="I467" s="16"/>
      <c r="J467" s="16"/>
      <c r="K467" s="16"/>
      <c r="L467" s="16"/>
      <c r="M467" s="16"/>
      <c r="N467" s="3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 ht="12.75" customHeight="1">
      <c r="A468" s="6"/>
      <c r="B468" s="194"/>
      <c r="C468" s="195"/>
      <c r="D468" s="4"/>
      <c r="E468" s="39"/>
      <c r="F468" s="196"/>
      <c r="G468" s="197"/>
      <c r="H468" s="197"/>
      <c r="I468" s="16"/>
      <c r="J468" s="16"/>
      <c r="K468" s="16"/>
      <c r="L468" s="16"/>
      <c r="M468" s="16"/>
      <c r="N468" s="3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ht="12.75" customHeight="1">
      <c r="A469" s="6"/>
      <c r="B469" s="194"/>
      <c r="C469" s="195"/>
      <c r="D469" s="4"/>
      <c r="E469" s="39"/>
      <c r="F469" s="196"/>
      <c r="G469" s="197"/>
      <c r="H469" s="197"/>
      <c r="I469" s="16"/>
      <c r="J469" s="16"/>
      <c r="K469" s="16"/>
      <c r="L469" s="16"/>
      <c r="M469" s="16"/>
      <c r="N469" s="3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 ht="12.75" customHeight="1">
      <c r="A470" s="6"/>
      <c r="B470" s="194"/>
      <c r="C470" s="195"/>
      <c r="D470" s="4"/>
      <c r="E470" s="39"/>
      <c r="F470" s="196"/>
      <c r="G470" s="197"/>
      <c r="H470" s="197"/>
      <c r="I470" s="16"/>
      <c r="J470" s="16"/>
      <c r="K470" s="16"/>
      <c r="L470" s="16"/>
      <c r="M470" s="16"/>
      <c r="N470" s="3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 ht="12.75" customHeight="1">
      <c r="A471" s="6"/>
      <c r="B471" s="194"/>
      <c r="C471" s="195"/>
      <c r="D471" s="4"/>
      <c r="E471" s="39"/>
      <c r="F471" s="196"/>
      <c r="G471" s="197"/>
      <c r="H471" s="197"/>
      <c r="I471" s="16"/>
      <c r="J471" s="16"/>
      <c r="K471" s="16"/>
      <c r="L471" s="16"/>
      <c r="M471" s="16"/>
      <c r="N471" s="3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 ht="12.75" customHeight="1">
      <c r="A472" s="6"/>
      <c r="B472" s="194"/>
      <c r="C472" s="195"/>
      <c r="D472" s="4"/>
      <c r="E472" s="39"/>
      <c r="F472" s="196"/>
      <c r="G472" s="197"/>
      <c r="H472" s="197"/>
      <c r="I472" s="16"/>
      <c r="J472" s="16"/>
      <c r="K472" s="16"/>
      <c r="L472" s="16"/>
      <c r="M472" s="16"/>
      <c r="N472" s="3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ht="12.75" customHeight="1">
      <c r="A473" s="6"/>
      <c r="B473" s="194"/>
      <c r="C473" s="195"/>
      <c r="D473" s="4"/>
      <c r="E473" s="39"/>
      <c r="F473" s="196"/>
      <c r="G473" s="197"/>
      <c r="H473" s="197"/>
      <c r="I473" s="16"/>
      <c r="J473" s="16"/>
      <c r="K473" s="16"/>
      <c r="L473" s="16"/>
      <c r="M473" s="16"/>
      <c r="N473" s="3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 ht="12.75" customHeight="1">
      <c r="A474" s="6"/>
      <c r="B474" s="194"/>
      <c r="C474" s="195"/>
      <c r="D474" s="4"/>
      <c r="E474" s="39"/>
      <c r="F474" s="196"/>
      <c r="G474" s="197"/>
      <c r="H474" s="197"/>
      <c r="I474" s="16"/>
      <c r="J474" s="16"/>
      <c r="K474" s="16"/>
      <c r="L474" s="16"/>
      <c r="M474" s="16"/>
      <c r="N474" s="3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 ht="12.75" customHeight="1">
      <c r="A475" s="6"/>
      <c r="B475" s="194"/>
      <c r="C475" s="195"/>
      <c r="D475" s="4"/>
      <c r="E475" s="39"/>
      <c r="F475" s="196"/>
      <c r="G475" s="197"/>
      <c r="H475" s="197"/>
      <c r="I475" s="16"/>
      <c r="J475" s="16"/>
      <c r="K475" s="16"/>
      <c r="L475" s="16"/>
      <c r="M475" s="16"/>
      <c r="N475" s="3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 ht="12.75" customHeight="1">
      <c r="A476" s="6"/>
      <c r="B476" s="194"/>
      <c r="C476" s="195"/>
      <c r="D476" s="4"/>
      <c r="E476" s="39"/>
      <c r="F476" s="196"/>
      <c r="G476" s="197"/>
      <c r="H476" s="197"/>
      <c r="I476" s="16"/>
      <c r="J476" s="16"/>
      <c r="K476" s="16"/>
      <c r="L476" s="16"/>
      <c r="M476" s="16"/>
      <c r="N476" s="3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 ht="12.75" customHeight="1">
      <c r="A477" s="6"/>
      <c r="B477" s="194"/>
      <c r="C477" s="195"/>
      <c r="D477" s="4"/>
      <c r="E477" s="39"/>
      <c r="F477" s="196"/>
      <c r="G477" s="197"/>
      <c r="H477" s="197"/>
      <c r="I477" s="16"/>
      <c r="J477" s="16"/>
      <c r="K477" s="16"/>
      <c r="L477" s="16"/>
      <c r="M477" s="16"/>
      <c r="N477" s="3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 ht="12.75" customHeight="1">
      <c r="A478" s="6"/>
      <c r="B478" s="194"/>
      <c r="C478" s="195"/>
      <c r="D478" s="4"/>
      <c r="E478" s="39"/>
      <c r="F478" s="196"/>
      <c r="G478" s="197"/>
      <c r="H478" s="197"/>
      <c r="I478" s="16"/>
      <c r="J478" s="16"/>
      <c r="K478" s="16"/>
      <c r="L478" s="16"/>
      <c r="M478" s="16"/>
      <c r="N478" s="3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ht="12.75" customHeight="1">
      <c r="A479" s="6"/>
      <c r="B479" s="194"/>
      <c r="C479" s="195"/>
      <c r="D479" s="4"/>
      <c r="E479" s="39"/>
      <c r="F479" s="196"/>
      <c r="G479" s="197"/>
      <c r="H479" s="197"/>
      <c r="I479" s="16"/>
      <c r="J479" s="16"/>
      <c r="K479" s="16"/>
      <c r="L479" s="16"/>
      <c r="M479" s="16"/>
      <c r="N479" s="3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 ht="12.75" customHeight="1">
      <c r="A480" s="6"/>
      <c r="B480" s="194"/>
      <c r="C480" s="195"/>
      <c r="D480" s="4"/>
      <c r="E480" s="39"/>
      <c r="F480" s="196"/>
      <c r="G480" s="197"/>
      <c r="H480" s="197"/>
      <c r="I480" s="16"/>
      <c r="J480" s="16"/>
      <c r="K480" s="16"/>
      <c r="L480" s="16"/>
      <c r="M480" s="16"/>
      <c r="N480" s="3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ht="12.75" customHeight="1">
      <c r="A481" s="6"/>
      <c r="B481" s="194"/>
      <c r="C481" s="195"/>
      <c r="D481" s="4"/>
      <c r="E481" s="39"/>
      <c r="F481" s="196"/>
      <c r="G481" s="197"/>
      <c r="H481" s="197"/>
      <c r="I481" s="16"/>
      <c r="J481" s="16"/>
      <c r="K481" s="16"/>
      <c r="L481" s="16"/>
      <c r="M481" s="16"/>
      <c r="N481" s="3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 ht="12.75" customHeight="1">
      <c r="A482" s="6"/>
      <c r="B482" s="194"/>
      <c r="C482" s="195"/>
      <c r="D482" s="4"/>
      <c r="E482" s="39"/>
      <c r="F482" s="196"/>
      <c r="G482" s="197"/>
      <c r="H482" s="197"/>
      <c r="I482" s="16"/>
      <c r="J482" s="16"/>
      <c r="K482" s="16"/>
      <c r="L482" s="16"/>
      <c r="M482" s="16"/>
      <c r="N482" s="3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ht="12.75" customHeight="1">
      <c r="A483" s="6"/>
      <c r="B483" s="194"/>
      <c r="C483" s="195"/>
      <c r="D483" s="4"/>
      <c r="E483" s="39"/>
      <c r="F483" s="196"/>
      <c r="G483" s="197"/>
      <c r="H483" s="197"/>
      <c r="I483" s="16"/>
      <c r="J483" s="16"/>
      <c r="K483" s="16"/>
      <c r="L483" s="16"/>
      <c r="M483" s="16"/>
      <c r="N483" s="3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 ht="12.75" customHeight="1">
      <c r="A484" s="6"/>
      <c r="B484" s="194"/>
      <c r="C484" s="195"/>
      <c r="D484" s="4"/>
      <c r="E484" s="39"/>
      <c r="F484" s="196"/>
      <c r="G484" s="197"/>
      <c r="H484" s="197"/>
      <c r="I484" s="16"/>
      <c r="J484" s="16"/>
      <c r="K484" s="16"/>
      <c r="L484" s="16"/>
      <c r="M484" s="16"/>
      <c r="N484" s="3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 ht="12.75" customHeight="1">
      <c r="A485" s="6"/>
      <c r="B485" s="194"/>
      <c r="C485" s="195"/>
      <c r="D485" s="4"/>
      <c r="E485" s="39"/>
      <c r="F485" s="196"/>
      <c r="G485" s="197"/>
      <c r="H485" s="197"/>
      <c r="I485" s="16"/>
      <c r="J485" s="16"/>
      <c r="K485" s="16"/>
      <c r="L485" s="16"/>
      <c r="M485" s="16"/>
      <c r="N485" s="3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 ht="12.75" customHeight="1">
      <c r="A486" s="6"/>
      <c r="B486" s="194"/>
      <c r="C486" s="195"/>
      <c r="D486" s="4"/>
      <c r="E486" s="39"/>
      <c r="F486" s="196"/>
      <c r="G486" s="197"/>
      <c r="H486" s="197"/>
      <c r="I486" s="16"/>
      <c r="J486" s="16"/>
      <c r="K486" s="16"/>
      <c r="L486" s="16"/>
      <c r="M486" s="16"/>
      <c r="N486" s="3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 ht="12.75" customHeight="1">
      <c r="A487" s="6"/>
      <c r="B487" s="194"/>
      <c r="C487" s="195"/>
      <c r="D487" s="4"/>
      <c r="E487" s="39"/>
      <c r="F487" s="196"/>
      <c r="G487" s="197"/>
      <c r="H487" s="197"/>
      <c r="I487" s="16"/>
      <c r="J487" s="16"/>
      <c r="K487" s="16"/>
      <c r="L487" s="16"/>
      <c r="M487" s="16"/>
      <c r="N487" s="3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 ht="12.75" customHeight="1">
      <c r="A488" s="6"/>
      <c r="B488" s="194"/>
      <c r="C488" s="195"/>
      <c r="D488" s="4"/>
      <c r="E488" s="39"/>
      <c r="F488" s="196"/>
      <c r="G488" s="197"/>
      <c r="H488" s="197"/>
      <c r="I488" s="16"/>
      <c r="J488" s="16"/>
      <c r="K488" s="16"/>
      <c r="L488" s="16"/>
      <c r="M488" s="16"/>
      <c r="N488" s="3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 ht="12.75" customHeight="1">
      <c r="A489" s="6"/>
      <c r="B489" s="194"/>
      <c r="C489" s="195"/>
      <c r="D489" s="4"/>
      <c r="E489" s="39"/>
      <c r="F489" s="196"/>
      <c r="G489" s="197"/>
      <c r="H489" s="197"/>
      <c r="I489" s="16"/>
      <c r="J489" s="16"/>
      <c r="K489" s="16"/>
      <c r="L489" s="16"/>
      <c r="M489" s="16"/>
      <c r="N489" s="3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 ht="12.75" customHeight="1">
      <c r="A490" s="6"/>
      <c r="B490" s="194"/>
      <c r="C490" s="195"/>
      <c r="D490" s="4"/>
      <c r="E490" s="39"/>
      <c r="F490" s="196"/>
      <c r="G490" s="197"/>
      <c r="H490" s="197"/>
      <c r="I490" s="16"/>
      <c r="J490" s="16"/>
      <c r="K490" s="16"/>
      <c r="L490" s="16"/>
      <c r="M490" s="16"/>
      <c r="N490" s="3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ht="12.75" customHeight="1">
      <c r="A491" s="6"/>
      <c r="B491" s="194"/>
      <c r="C491" s="195"/>
      <c r="D491" s="4"/>
      <c r="E491" s="39"/>
      <c r="F491" s="196"/>
      <c r="G491" s="197"/>
      <c r="H491" s="197"/>
      <c r="I491" s="16"/>
      <c r="J491" s="16"/>
      <c r="K491" s="16"/>
      <c r="L491" s="16"/>
      <c r="M491" s="16"/>
      <c r="N491" s="3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 ht="12.75" customHeight="1">
      <c r="A492" s="6"/>
      <c r="B492" s="194"/>
      <c r="C492" s="195"/>
      <c r="D492" s="4"/>
      <c r="E492" s="39"/>
      <c r="F492" s="196"/>
      <c r="G492" s="197"/>
      <c r="H492" s="197"/>
      <c r="I492" s="16"/>
      <c r="J492" s="16"/>
      <c r="K492" s="16"/>
      <c r="L492" s="16"/>
      <c r="M492" s="16"/>
      <c r="N492" s="3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 ht="12.75" customHeight="1">
      <c r="A493" s="6"/>
      <c r="B493" s="194"/>
      <c r="C493" s="195"/>
      <c r="D493" s="4"/>
      <c r="E493" s="39"/>
      <c r="F493" s="196"/>
      <c r="G493" s="197"/>
      <c r="H493" s="197"/>
      <c r="I493" s="16"/>
      <c r="J493" s="16"/>
      <c r="K493" s="16"/>
      <c r="L493" s="16"/>
      <c r="M493" s="16"/>
      <c r="N493" s="3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 ht="12.75" customHeight="1">
      <c r="A494" s="6"/>
      <c r="B494" s="194"/>
      <c r="C494" s="195"/>
      <c r="D494" s="4"/>
      <c r="E494" s="39"/>
      <c r="F494" s="196"/>
      <c r="G494" s="197"/>
      <c r="H494" s="197"/>
      <c r="I494" s="16"/>
      <c r="J494" s="16"/>
      <c r="K494" s="16"/>
      <c r="L494" s="16"/>
      <c r="M494" s="16"/>
      <c r="N494" s="3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 ht="12.75" customHeight="1">
      <c r="A495" s="6"/>
      <c r="B495" s="194"/>
      <c r="C495" s="195"/>
      <c r="D495" s="4"/>
      <c r="E495" s="39"/>
      <c r="F495" s="196"/>
      <c r="G495" s="197"/>
      <c r="H495" s="197"/>
      <c r="I495" s="16"/>
      <c r="J495" s="16"/>
      <c r="K495" s="16"/>
      <c r="L495" s="16"/>
      <c r="M495" s="16"/>
      <c r="N495" s="3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 ht="12.75" customHeight="1">
      <c r="A496" s="6"/>
      <c r="B496" s="194"/>
      <c r="C496" s="195"/>
      <c r="D496" s="4"/>
      <c r="E496" s="39"/>
      <c r="F496" s="196"/>
      <c r="G496" s="197"/>
      <c r="H496" s="197"/>
      <c r="I496" s="16"/>
      <c r="J496" s="16"/>
      <c r="K496" s="16"/>
      <c r="L496" s="16"/>
      <c r="M496" s="16"/>
      <c r="N496" s="3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ht="12.75" customHeight="1">
      <c r="A497" s="6"/>
      <c r="B497" s="194"/>
      <c r="C497" s="195"/>
      <c r="D497" s="4"/>
      <c r="E497" s="39"/>
      <c r="F497" s="196"/>
      <c r="G497" s="197"/>
      <c r="H497" s="197"/>
      <c r="I497" s="16"/>
      <c r="J497" s="16"/>
      <c r="K497" s="16"/>
      <c r="L497" s="16"/>
      <c r="M497" s="16"/>
      <c r="N497" s="3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 ht="12.75" customHeight="1">
      <c r="A498" s="6"/>
      <c r="B498" s="194"/>
      <c r="C498" s="195"/>
      <c r="D498" s="4"/>
      <c r="E498" s="39"/>
      <c r="F498" s="196"/>
      <c r="G498" s="197"/>
      <c r="H498" s="197"/>
      <c r="I498" s="16"/>
      <c r="J498" s="16"/>
      <c r="K498" s="16"/>
      <c r="L498" s="16"/>
      <c r="M498" s="16"/>
      <c r="N498" s="3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 ht="12.75" customHeight="1">
      <c r="A499" s="6"/>
      <c r="B499" s="194"/>
      <c r="C499" s="195"/>
      <c r="D499" s="4"/>
      <c r="E499" s="39"/>
      <c r="F499" s="196"/>
      <c r="G499" s="197"/>
      <c r="H499" s="197"/>
      <c r="I499" s="16"/>
      <c r="J499" s="16"/>
      <c r="K499" s="16"/>
      <c r="L499" s="16"/>
      <c r="M499" s="16"/>
      <c r="N499" s="3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 ht="12.75" customHeight="1">
      <c r="A500" s="6"/>
      <c r="B500" s="194"/>
      <c r="C500" s="195"/>
      <c r="D500" s="4"/>
      <c r="E500" s="39"/>
      <c r="F500" s="196"/>
      <c r="G500" s="197"/>
      <c r="H500" s="197"/>
      <c r="I500" s="16"/>
      <c r="J500" s="16"/>
      <c r="K500" s="16"/>
      <c r="L500" s="16"/>
      <c r="M500" s="16"/>
      <c r="N500" s="3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 ht="12.75" customHeight="1">
      <c r="A501" s="6"/>
      <c r="B501" s="194"/>
      <c r="C501" s="195"/>
      <c r="D501" s="4"/>
      <c r="E501" s="39"/>
      <c r="F501" s="196"/>
      <c r="G501" s="197"/>
      <c r="H501" s="197"/>
      <c r="I501" s="16"/>
      <c r="J501" s="16"/>
      <c r="K501" s="16"/>
      <c r="L501" s="16"/>
      <c r="M501" s="16"/>
      <c r="N501" s="3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 ht="12.75" customHeight="1">
      <c r="A502" s="6"/>
      <c r="B502" s="194"/>
      <c r="C502" s="195"/>
      <c r="D502" s="4"/>
      <c r="E502" s="39"/>
      <c r="F502" s="196"/>
      <c r="G502" s="197"/>
      <c r="H502" s="197"/>
      <c r="I502" s="16"/>
      <c r="J502" s="16"/>
      <c r="K502" s="16"/>
      <c r="L502" s="16"/>
      <c r="M502" s="16"/>
      <c r="N502" s="3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 ht="12.75" customHeight="1">
      <c r="A503" s="6"/>
      <c r="B503" s="194"/>
      <c r="C503" s="195"/>
      <c r="D503" s="4"/>
      <c r="E503" s="39"/>
      <c r="F503" s="196"/>
      <c r="G503" s="197"/>
      <c r="H503" s="197"/>
      <c r="I503" s="16"/>
      <c r="J503" s="16"/>
      <c r="K503" s="16"/>
      <c r="L503" s="16"/>
      <c r="M503" s="16"/>
      <c r="N503" s="3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 ht="12.75" customHeight="1">
      <c r="A504" s="6"/>
      <c r="B504" s="194"/>
      <c r="C504" s="195"/>
      <c r="D504" s="4"/>
      <c r="E504" s="39"/>
      <c r="F504" s="196"/>
      <c r="G504" s="197"/>
      <c r="H504" s="197"/>
      <c r="I504" s="16"/>
      <c r="J504" s="16"/>
      <c r="K504" s="16"/>
      <c r="L504" s="16"/>
      <c r="M504" s="16"/>
      <c r="N504" s="3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 ht="12.75" customHeight="1">
      <c r="A505" s="6"/>
      <c r="B505" s="194"/>
      <c r="C505" s="195"/>
      <c r="D505" s="4"/>
      <c r="E505" s="39"/>
      <c r="F505" s="196"/>
      <c r="G505" s="197"/>
      <c r="H505" s="197"/>
      <c r="I505" s="16"/>
      <c r="J505" s="16"/>
      <c r="K505" s="16"/>
      <c r="L505" s="16"/>
      <c r="M505" s="16"/>
      <c r="N505" s="3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 ht="12.75" customHeight="1">
      <c r="A506" s="6"/>
      <c r="B506" s="194"/>
      <c r="C506" s="195"/>
      <c r="D506" s="4"/>
      <c r="E506" s="39"/>
      <c r="F506" s="196"/>
      <c r="G506" s="197"/>
      <c r="H506" s="197"/>
      <c r="I506" s="16"/>
      <c r="J506" s="16"/>
      <c r="K506" s="16"/>
      <c r="L506" s="16"/>
      <c r="M506" s="16"/>
      <c r="N506" s="3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 ht="12.75" customHeight="1">
      <c r="A507" s="6"/>
      <c r="B507" s="194"/>
      <c r="C507" s="195"/>
      <c r="D507" s="4"/>
      <c r="E507" s="39"/>
      <c r="F507" s="196"/>
      <c r="G507" s="197"/>
      <c r="H507" s="197"/>
      <c r="I507" s="16"/>
      <c r="J507" s="16"/>
      <c r="K507" s="16"/>
      <c r="L507" s="16"/>
      <c r="M507" s="16"/>
      <c r="N507" s="3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 ht="12.75" customHeight="1">
      <c r="A508" s="6"/>
      <c r="B508" s="194"/>
      <c r="C508" s="195"/>
      <c r="D508" s="4"/>
      <c r="E508" s="39"/>
      <c r="F508" s="196"/>
      <c r="G508" s="197"/>
      <c r="H508" s="197"/>
      <c r="I508" s="16"/>
      <c r="J508" s="16"/>
      <c r="K508" s="16"/>
      <c r="L508" s="16"/>
      <c r="M508" s="16"/>
      <c r="N508" s="3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 ht="12.75" customHeight="1">
      <c r="A509" s="6"/>
      <c r="B509" s="194"/>
      <c r="C509" s="195"/>
      <c r="D509" s="4"/>
      <c r="E509" s="39"/>
      <c r="F509" s="196"/>
      <c r="G509" s="197"/>
      <c r="H509" s="197"/>
      <c r="I509" s="16"/>
      <c r="J509" s="16"/>
      <c r="K509" s="16"/>
      <c r="L509" s="16"/>
      <c r="M509" s="16"/>
      <c r="N509" s="3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 ht="12.75" customHeight="1">
      <c r="A510" s="6"/>
      <c r="B510" s="194"/>
      <c r="C510" s="195"/>
      <c r="D510" s="4"/>
      <c r="E510" s="39"/>
      <c r="F510" s="196"/>
      <c r="G510" s="197"/>
      <c r="H510" s="197"/>
      <c r="I510" s="16"/>
      <c r="J510" s="16"/>
      <c r="K510" s="16"/>
      <c r="L510" s="16"/>
      <c r="M510" s="16"/>
      <c r="N510" s="3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 ht="12.75" customHeight="1">
      <c r="A511" s="6"/>
      <c r="B511" s="194"/>
      <c r="C511" s="195"/>
      <c r="D511" s="4"/>
      <c r="E511" s="39"/>
      <c r="F511" s="196"/>
      <c r="G511" s="197"/>
      <c r="H511" s="197"/>
      <c r="I511" s="16"/>
      <c r="J511" s="16"/>
      <c r="K511" s="16"/>
      <c r="L511" s="16"/>
      <c r="M511" s="16"/>
      <c r="N511" s="3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 ht="12.75" customHeight="1">
      <c r="A512" s="6"/>
      <c r="B512" s="194"/>
      <c r="C512" s="195"/>
      <c r="D512" s="4"/>
      <c r="E512" s="39"/>
      <c r="F512" s="196"/>
      <c r="G512" s="197"/>
      <c r="H512" s="197"/>
      <c r="I512" s="16"/>
      <c r="J512" s="16"/>
      <c r="K512" s="16"/>
      <c r="L512" s="16"/>
      <c r="M512" s="16"/>
      <c r="N512" s="3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 ht="12.75" customHeight="1">
      <c r="A513" s="6"/>
      <c r="B513" s="194"/>
      <c r="C513" s="195"/>
      <c r="D513" s="4"/>
      <c r="E513" s="39"/>
      <c r="F513" s="196"/>
      <c r="G513" s="197"/>
      <c r="H513" s="197"/>
      <c r="I513" s="16"/>
      <c r="J513" s="16"/>
      <c r="K513" s="16"/>
      <c r="L513" s="16"/>
      <c r="M513" s="16"/>
      <c r="N513" s="3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 ht="12.75" customHeight="1">
      <c r="A514" s="6"/>
      <c r="B514" s="194"/>
      <c r="C514" s="195"/>
      <c r="D514" s="4"/>
      <c r="E514" s="39"/>
      <c r="F514" s="196"/>
      <c r="G514" s="197"/>
      <c r="H514" s="197"/>
      <c r="I514" s="16"/>
      <c r="J514" s="16"/>
      <c r="K514" s="16"/>
      <c r="L514" s="16"/>
      <c r="M514" s="16"/>
      <c r="N514" s="3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 ht="12.75" customHeight="1">
      <c r="A515" s="6"/>
      <c r="B515" s="194"/>
      <c r="C515" s="195"/>
      <c r="D515" s="4"/>
      <c r="E515" s="39"/>
      <c r="F515" s="196"/>
      <c r="G515" s="197"/>
      <c r="H515" s="197"/>
      <c r="I515" s="16"/>
      <c r="J515" s="16"/>
      <c r="K515" s="16"/>
      <c r="L515" s="16"/>
      <c r="M515" s="16"/>
      <c r="N515" s="3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 ht="12.75" customHeight="1">
      <c r="A516" s="6"/>
      <c r="B516" s="194"/>
      <c r="C516" s="195"/>
      <c r="D516" s="4"/>
      <c r="E516" s="39"/>
      <c r="F516" s="196"/>
      <c r="G516" s="197"/>
      <c r="H516" s="197"/>
      <c r="I516" s="16"/>
      <c r="J516" s="16"/>
      <c r="K516" s="16"/>
      <c r="L516" s="16"/>
      <c r="M516" s="16"/>
      <c r="N516" s="3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 ht="12.75" customHeight="1">
      <c r="A517" s="6"/>
      <c r="B517" s="194"/>
      <c r="C517" s="195"/>
      <c r="D517" s="4"/>
      <c r="E517" s="39"/>
      <c r="F517" s="196"/>
      <c r="G517" s="197"/>
      <c r="H517" s="197"/>
      <c r="I517" s="16"/>
      <c r="J517" s="16"/>
      <c r="K517" s="16"/>
      <c r="L517" s="16"/>
      <c r="M517" s="16"/>
      <c r="N517" s="3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 ht="12.75" customHeight="1">
      <c r="A518" s="6"/>
      <c r="B518" s="194"/>
      <c r="C518" s="195"/>
      <c r="D518" s="4"/>
      <c r="E518" s="39"/>
      <c r="F518" s="196"/>
      <c r="G518" s="197"/>
      <c r="H518" s="197"/>
      <c r="I518" s="16"/>
      <c r="J518" s="16"/>
      <c r="K518" s="16"/>
      <c r="L518" s="16"/>
      <c r="M518" s="16"/>
      <c r="N518" s="3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ht="12.75" customHeight="1">
      <c r="A519" s="6"/>
      <c r="B519" s="194"/>
      <c r="C519" s="195"/>
      <c r="D519" s="4"/>
      <c r="E519" s="39"/>
      <c r="F519" s="196"/>
      <c r="G519" s="197"/>
      <c r="H519" s="197"/>
      <c r="I519" s="16"/>
      <c r="J519" s="16"/>
      <c r="K519" s="16"/>
      <c r="L519" s="16"/>
      <c r="M519" s="16"/>
      <c r="N519" s="3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 ht="12.75" customHeight="1">
      <c r="A520" s="6"/>
      <c r="B520" s="194"/>
      <c r="C520" s="195"/>
      <c r="D520" s="4"/>
      <c r="E520" s="39"/>
      <c r="F520" s="196"/>
      <c r="G520" s="197"/>
      <c r="H520" s="197"/>
      <c r="I520" s="16"/>
      <c r="J520" s="16"/>
      <c r="K520" s="16"/>
      <c r="L520" s="16"/>
      <c r="M520" s="16"/>
      <c r="N520" s="3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 ht="12.75" customHeight="1">
      <c r="A521" s="6"/>
      <c r="B521" s="194"/>
      <c r="C521" s="195"/>
      <c r="D521" s="4"/>
      <c r="E521" s="39"/>
      <c r="F521" s="196"/>
      <c r="G521" s="197"/>
      <c r="H521" s="197"/>
      <c r="I521" s="16"/>
      <c r="J521" s="16"/>
      <c r="K521" s="16"/>
      <c r="L521" s="16"/>
      <c r="M521" s="16"/>
      <c r="N521" s="3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 ht="12.75" customHeight="1">
      <c r="A522" s="6"/>
      <c r="B522" s="194"/>
      <c r="C522" s="195"/>
      <c r="D522" s="4"/>
      <c r="E522" s="39"/>
      <c r="F522" s="196"/>
      <c r="G522" s="197"/>
      <c r="H522" s="197"/>
      <c r="I522" s="16"/>
      <c r="J522" s="16"/>
      <c r="K522" s="16"/>
      <c r="L522" s="16"/>
      <c r="M522" s="16"/>
      <c r="N522" s="3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 ht="12.75" customHeight="1">
      <c r="A523" s="6"/>
      <c r="B523" s="194"/>
      <c r="C523" s="195"/>
      <c r="D523" s="4"/>
      <c r="E523" s="39"/>
      <c r="F523" s="196"/>
      <c r="G523" s="197"/>
      <c r="H523" s="197"/>
      <c r="I523" s="16"/>
      <c r="J523" s="16"/>
      <c r="K523" s="16"/>
      <c r="L523" s="16"/>
      <c r="M523" s="16"/>
      <c r="N523" s="3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 ht="12.75" customHeight="1">
      <c r="A524" s="6"/>
      <c r="B524" s="194"/>
      <c r="C524" s="195"/>
      <c r="D524" s="4"/>
      <c r="E524" s="39"/>
      <c r="F524" s="196"/>
      <c r="G524" s="197"/>
      <c r="H524" s="197"/>
      <c r="I524" s="16"/>
      <c r="J524" s="16"/>
      <c r="K524" s="16"/>
      <c r="L524" s="16"/>
      <c r="M524" s="16"/>
      <c r="N524" s="3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 ht="12.75" customHeight="1">
      <c r="A525" s="6"/>
      <c r="B525" s="194"/>
      <c r="C525" s="195"/>
      <c r="D525" s="4"/>
      <c r="E525" s="39"/>
      <c r="F525" s="196"/>
      <c r="G525" s="197"/>
      <c r="H525" s="197"/>
      <c r="I525" s="16"/>
      <c r="J525" s="16"/>
      <c r="K525" s="16"/>
      <c r="L525" s="16"/>
      <c r="M525" s="16"/>
      <c r="N525" s="3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 ht="12.75" customHeight="1">
      <c r="A526" s="6"/>
      <c r="B526" s="194"/>
      <c r="C526" s="195"/>
      <c r="D526" s="4"/>
      <c r="E526" s="39"/>
      <c r="F526" s="196"/>
      <c r="G526" s="197"/>
      <c r="H526" s="197"/>
      <c r="I526" s="16"/>
      <c r="J526" s="16"/>
      <c r="K526" s="16"/>
      <c r="L526" s="16"/>
      <c r="M526" s="16"/>
      <c r="N526" s="3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 ht="12.75" customHeight="1">
      <c r="A527" s="6"/>
      <c r="B527" s="194"/>
      <c r="C527" s="195"/>
      <c r="D527" s="4"/>
      <c r="E527" s="39"/>
      <c r="F527" s="196"/>
      <c r="G527" s="197"/>
      <c r="H527" s="197"/>
      <c r="I527" s="16"/>
      <c r="J527" s="16"/>
      <c r="K527" s="16"/>
      <c r="L527" s="16"/>
      <c r="M527" s="16"/>
      <c r="N527" s="3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 ht="12.75" customHeight="1">
      <c r="A528" s="6"/>
      <c r="B528" s="194"/>
      <c r="C528" s="195"/>
      <c r="D528" s="4"/>
      <c r="E528" s="39"/>
      <c r="F528" s="196"/>
      <c r="G528" s="197"/>
      <c r="H528" s="197"/>
      <c r="I528" s="16"/>
      <c r="J528" s="16"/>
      <c r="K528" s="16"/>
      <c r="L528" s="16"/>
      <c r="M528" s="16"/>
      <c r="N528" s="3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 ht="12.75" customHeight="1">
      <c r="A529" s="6"/>
      <c r="B529" s="194"/>
      <c r="C529" s="195"/>
      <c r="D529" s="4"/>
      <c r="E529" s="39"/>
      <c r="F529" s="196"/>
      <c r="G529" s="197"/>
      <c r="H529" s="197"/>
      <c r="I529" s="16"/>
      <c r="J529" s="16"/>
      <c r="K529" s="16"/>
      <c r="L529" s="16"/>
      <c r="M529" s="16"/>
      <c r="N529" s="3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 ht="12.75" customHeight="1">
      <c r="A530" s="6"/>
      <c r="B530" s="194"/>
      <c r="C530" s="195"/>
      <c r="D530" s="4"/>
      <c r="E530" s="39"/>
      <c r="F530" s="196"/>
      <c r="G530" s="197"/>
      <c r="H530" s="197"/>
      <c r="I530" s="16"/>
      <c r="J530" s="16"/>
      <c r="K530" s="16"/>
      <c r="L530" s="16"/>
      <c r="M530" s="16"/>
      <c r="N530" s="3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 ht="12.75" customHeight="1">
      <c r="A531" s="6"/>
      <c r="B531" s="194"/>
      <c r="C531" s="195"/>
      <c r="D531" s="4"/>
      <c r="E531" s="39"/>
      <c r="F531" s="196"/>
      <c r="G531" s="197"/>
      <c r="H531" s="197"/>
      <c r="I531" s="16"/>
      <c r="J531" s="16"/>
      <c r="K531" s="16"/>
      <c r="L531" s="16"/>
      <c r="M531" s="16"/>
      <c r="N531" s="3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 ht="12.75" customHeight="1">
      <c r="A532" s="6"/>
      <c r="B532" s="194"/>
      <c r="C532" s="195"/>
      <c r="D532" s="4"/>
      <c r="E532" s="39"/>
      <c r="F532" s="196"/>
      <c r="G532" s="197"/>
      <c r="H532" s="197"/>
      <c r="I532" s="16"/>
      <c r="J532" s="16"/>
      <c r="K532" s="16"/>
      <c r="L532" s="16"/>
      <c r="M532" s="16"/>
      <c r="N532" s="3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 ht="12.75" customHeight="1">
      <c r="A533" s="6"/>
      <c r="B533" s="194"/>
      <c r="C533" s="195"/>
      <c r="D533" s="4"/>
      <c r="E533" s="39"/>
      <c r="F533" s="196"/>
      <c r="G533" s="197"/>
      <c r="H533" s="197"/>
      <c r="I533" s="16"/>
      <c r="J533" s="16"/>
      <c r="K533" s="16"/>
      <c r="L533" s="16"/>
      <c r="M533" s="16"/>
      <c r="N533" s="3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 ht="12.75" customHeight="1">
      <c r="A534" s="6"/>
      <c r="B534" s="194"/>
      <c r="C534" s="195"/>
      <c r="D534" s="4"/>
      <c r="E534" s="39"/>
      <c r="F534" s="196"/>
      <c r="G534" s="197"/>
      <c r="H534" s="197"/>
      <c r="I534" s="16"/>
      <c r="J534" s="16"/>
      <c r="K534" s="16"/>
      <c r="L534" s="16"/>
      <c r="M534" s="16"/>
      <c r="N534" s="3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ht="12.75" customHeight="1">
      <c r="A535" s="6"/>
      <c r="B535" s="194"/>
      <c r="C535" s="195"/>
      <c r="D535" s="4"/>
      <c r="E535" s="39"/>
      <c r="F535" s="196"/>
      <c r="G535" s="197"/>
      <c r="H535" s="197"/>
      <c r="I535" s="16"/>
      <c r="J535" s="16"/>
      <c r="K535" s="16"/>
      <c r="L535" s="16"/>
      <c r="M535" s="16"/>
      <c r="N535" s="3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 ht="12.75" customHeight="1">
      <c r="A536" s="6"/>
      <c r="B536" s="194"/>
      <c r="C536" s="195"/>
      <c r="D536" s="4"/>
      <c r="E536" s="39"/>
      <c r="F536" s="196"/>
      <c r="G536" s="197"/>
      <c r="H536" s="197"/>
      <c r="I536" s="16"/>
      <c r="J536" s="16"/>
      <c r="K536" s="16"/>
      <c r="L536" s="16"/>
      <c r="M536" s="16"/>
      <c r="N536" s="3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 ht="12.75" customHeight="1">
      <c r="A537" s="6"/>
      <c r="B537" s="194"/>
      <c r="C537" s="195"/>
      <c r="D537" s="4"/>
      <c r="E537" s="39"/>
      <c r="F537" s="196"/>
      <c r="G537" s="197"/>
      <c r="H537" s="197"/>
      <c r="I537" s="16"/>
      <c r="J537" s="16"/>
      <c r="K537" s="16"/>
      <c r="L537" s="16"/>
      <c r="M537" s="16"/>
      <c r="N537" s="3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 ht="12.75" customHeight="1">
      <c r="A538" s="6"/>
      <c r="B538" s="194"/>
      <c r="C538" s="195"/>
      <c r="D538" s="4"/>
      <c r="E538" s="39"/>
      <c r="F538" s="196"/>
      <c r="G538" s="197"/>
      <c r="H538" s="197"/>
      <c r="I538" s="16"/>
      <c r="J538" s="16"/>
      <c r="K538" s="16"/>
      <c r="L538" s="16"/>
      <c r="M538" s="16"/>
      <c r="N538" s="3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 ht="12.75" customHeight="1">
      <c r="A539" s="6"/>
      <c r="B539" s="194"/>
      <c r="C539" s="195"/>
      <c r="D539" s="4"/>
      <c r="E539" s="39"/>
      <c r="F539" s="196"/>
      <c r="G539" s="197"/>
      <c r="H539" s="197"/>
      <c r="I539" s="16"/>
      <c r="J539" s="16"/>
      <c r="K539" s="16"/>
      <c r="L539" s="16"/>
      <c r="M539" s="16"/>
      <c r="N539" s="3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 ht="12.75" customHeight="1">
      <c r="A540" s="6"/>
      <c r="B540" s="194"/>
      <c r="C540" s="195"/>
      <c r="D540" s="4"/>
      <c r="E540" s="39"/>
      <c r="F540" s="196"/>
      <c r="G540" s="197"/>
      <c r="H540" s="197"/>
      <c r="I540" s="16"/>
      <c r="J540" s="16"/>
      <c r="K540" s="16"/>
      <c r="L540" s="16"/>
      <c r="M540" s="16"/>
      <c r="N540" s="3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 ht="12.75" customHeight="1">
      <c r="A541" s="6"/>
      <c r="B541" s="194"/>
      <c r="C541" s="195"/>
      <c r="D541" s="4"/>
      <c r="E541" s="39"/>
      <c r="F541" s="196"/>
      <c r="G541" s="197"/>
      <c r="H541" s="197"/>
      <c r="I541" s="16"/>
      <c r="J541" s="16"/>
      <c r="K541" s="16"/>
      <c r="L541" s="16"/>
      <c r="M541" s="16"/>
      <c r="N541" s="3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 ht="12.75" customHeight="1">
      <c r="A542" s="6"/>
      <c r="B542" s="194"/>
      <c r="C542" s="195"/>
      <c r="D542" s="4"/>
      <c r="E542" s="39"/>
      <c r="F542" s="196"/>
      <c r="G542" s="197"/>
      <c r="H542" s="197"/>
      <c r="I542" s="16"/>
      <c r="J542" s="16"/>
      <c r="K542" s="16"/>
      <c r="L542" s="16"/>
      <c r="M542" s="16"/>
      <c r="N542" s="3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 ht="12.75" customHeight="1">
      <c r="A543" s="6"/>
      <c r="B543" s="194"/>
      <c r="C543" s="195"/>
      <c r="D543" s="4"/>
      <c r="E543" s="39"/>
      <c r="F543" s="196"/>
      <c r="G543" s="197"/>
      <c r="H543" s="197"/>
      <c r="I543" s="16"/>
      <c r="J543" s="16"/>
      <c r="K543" s="16"/>
      <c r="L543" s="16"/>
      <c r="M543" s="16"/>
      <c r="N543" s="3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 ht="12.75" customHeight="1">
      <c r="A544" s="6"/>
      <c r="B544" s="194"/>
      <c r="C544" s="195"/>
      <c r="D544" s="4"/>
      <c r="E544" s="39"/>
      <c r="F544" s="196"/>
      <c r="G544" s="197"/>
      <c r="H544" s="197"/>
      <c r="I544" s="16"/>
      <c r="J544" s="16"/>
      <c r="K544" s="16"/>
      <c r="L544" s="16"/>
      <c r="M544" s="16"/>
      <c r="N544" s="3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ht="12.75" customHeight="1">
      <c r="A545" s="6"/>
      <c r="B545" s="194"/>
      <c r="C545" s="195"/>
      <c r="D545" s="4"/>
      <c r="E545" s="39"/>
      <c r="F545" s="196"/>
      <c r="G545" s="197"/>
      <c r="H545" s="197"/>
      <c r="I545" s="16"/>
      <c r="J545" s="16"/>
      <c r="K545" s="16"/>
      <c r="L545" s="16"/>
      <c r="M545" s="16"/>
      <c r="N545" s="3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 ht="12.75" customHeight="1">
      <c r="A546" s="6"/>
      <c r="B546" s="194"/>
      <c r="C546" s="195"/>
      <c r="D546" s="4"/>
      <c r="E546" s="39"/>
      <c r="F546" s="196"/>
      <c r="G546" s="197"/>
      <c r="H546" s="197"/>
      <c r="I546" s="16"/>
      <c r="J546" s="16"/>
      <c r="K546" s="16"/>
      <c r="L546" s="16"/>
      <c r="M546" s="16"/>
      <c r="N546" s="3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 ht="12.75" customHeight="1">
      <c r="A547" s="6"/>
      <c r="B547" s="194"/>
      <c r="C547" s="195"/>
      <c r="D547" s="4"/>
      <c r="E547" s="39"/>
      <c r="F547" s="196"/>
      <c r="G547" s="197"/>
      <c r="H547" s="197"/>
      <c r="I547" s="16"/>
      <c r="J547" s="16"/>
      <c r="K547" s="16"/>
      <c r="L547" s="16"/>
      <c r="M547" s="16"/>
      <c r="N547" s="3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 ht="12.75" customHeight="1">
      <c r="A548" s="6"/>
      <c r="B548" s="194"/>
      <c r="C548" s="195"/>
      <c r="D548" s="4"/>
      <c r="E548" s="39"/>
      <c r="F548" s="196"/>
      <c r="G548" s="197"/>
      <c r="H548" s="197"/>
      <c r="I548" s="16"/>
      <c r="J548" s="16"/>
      <c r="K548" s="16"/>
      <c r="L548" s="16"/>
      <c r="M548" s="16"/>
      <c r="N548" s="3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 ht="12.75" customHeight="1">
      <c r="A549" s="6"/>
      <c r="B549" s="194"/>
      <c r="C549" s="195"/>
      <c r="D549" s="4"/>
      <c r="E549" s="39"/>
      <c r="F549" s="196"/>
      <c r="G549" s="197"/>
      <c r="H549" s="197"/>
      <c r="I549" s="16"/>
      <c r="J549" s="16"/>
      <c r="K549" s="16"/>
      <c r="L549" s="16"/>
      <c r="M549" s="16"/>
      <c r="N549" s="3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 ht="12.75" customHeight="1">
      <c r="A550" s="6"/>
      <c r="B550" s="194"/>
      <c r="C550" s="195"/>
      <c r="D550" s="4"/>
      <c r="E550" s="39"/>
      <c r="F550" s="196"/>
      <c r="G550" s="197"/>
      <c r="H550" s="197"/>
      <c r="I550" s="16"/>
      <c r="J550" s="16"/>
      <c r="K550" s="16"/>
      <c r="L550" s="16"/>
      <c r="M550" s="16"/>
      <c r="N550" s="3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 ht="12.75" customHeight="1">
      <c r="A551" s="6"/>
      <c r="B551" s="194"/>
      <c r="C551" s="195"/>
      <c r="D551" s="4"/>
      <c r="E551" s="39"/>
      <c r="F551" s="196"/>
      <c r="G551" s="197"/>
      <c r="H551" s="197"/>
      <c r="I551" s="16"/>
      <c r="J551" s="16"/>
      <c r="K551" s="16"/>
      <c r="L551" s="16"/>
      <c r="M551" s="16"/>
      <c r="N551" s="3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 ht="12.75" customHeight="1">
      <c r="A552" s="6"/>
      <c r="B552" s="194"/>
      <c r="C552" s="195"/>
      <c r="D552" s="4"/>
      <c r="E552" s="39"/>
      <c r="F552" s="196"/>
      <c r="G552" s="197"/>
      <c r="H552" s="197"/>
      <c r="I552" s="16"/>
      <c r="J552" s="16"/>
      <c r="K552" s="16"/>
      <c r="L552" s="16"/>
      <c r="M552" s="16"/>
      <c r="N552" s="3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 ht="12.75" customHeight="1">
      <c r="A553" s="6"/>
      <c r="B553" s="194"/>
      <c r="C553" s="195"/>
      <c r="D553" s="4"/>
      <c r="E553" s="39"/>
      <c r="F553" s="196"/>
      <c r="G553" s="197"/>
      <c r="H553" s="197"/>
      <c r="I553" s="16"/>
      <c r="J553" s="16"/>
      <c r="K553" s="16"/>
      <c r="L553" s="16"/>
      <c r="M553" s="16"/>
      <c r="N553" s="3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 ht="12.75" customHeight="1">
      <c r="A554" s="6"/>
      <c r="B554" s="194"/>
      <c r="C554" s="195"/>
      <c r="D554" s="4"/>
      <c r="E554" s="39"/>
      <c r="F554" s="196"/>
      <c r="G554" s="197"/>
      <c r="H554" s="197"/>
      <c r="I554" s="16"/>
      <c r="J554" s="16"/>
      <c r="K554" s="16"/>
      <c r="L554" s="16"/>
      <c r="M554" s="16"/>
      <c r="N554" s="3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 ht="12.75" customHeight="1">
      <c r="A555" s="6"/>
      <c r="B555" s="194"/>
      <c r="C555" s="195"/>
      <c r="D555" s="4"/>
      <c r="E555" s="39"/>
      <c r="F555" s="196"/>
      <c r="G555" s="197"/>
      <c r="H555" s="197"/>
      <c r="I555" s="16"/>
      <c r="J555" s="16"/>
      <c r="K555" s="16"/>
      <c r="L555" s="16"/>
      <c r="M555" s="16"/>
      <c r="N555" s="3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 ht="12.75" customHeight="1">
      <c r="A556" s="6"/>
      <c r="B556" s="194"/>
      <c r="C556" s="195"/>
      <c r="D556" s="4"/>
      <c r="E556" s="39"/>
      <c r="F556" s="196"/>
      <c r="G556" s="197"/>
      <c r="H556" s="197"/>
      <c r="I556" s="16"/>
      <c r="J556" s="16"/>
      <c r="K556" s="16"/>
      <c r="L556" s="16"/>
      <c r="M556" s="16"/>
      <c r="N556" s="3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 ht="12.75" customHeight="1">
      <c r="A557" s="6"/>
      <c r="B557" s="194"/>
      <c r="C557" s="195"/>
      <c r="D557" s="4"/>
      <c r="E557" s="39"/>
      <c r="F557" s="196"/>
      <c r="G557" s="197"/>
      <c r="H557" s="197"/>
      <c r="I557" s="16"/>
      <c r="J557" s="16"/>
      <c r="K557" s="16"/>
      <c r="L557" s="16"/>
      <c r="M557" s="16"/>
      <c r="N557" s="3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 ht="12.75" customHeight="1">
      <c r="A558" s="6"/>
      <c r="B558" s="194"/>
      <c r="C558" s="195"/>
      <c r="D558" s="4"/>
      <c r="E558" s="39"/>
      <c r="F558" s="196"/>
      <c r="G558" s="197"/>
      <c r="H558" s="197"/>
      <c r="I558" s="16"/>
      <c r="J558" s="16"/>
      <c r="K558" s="16"/>
      <c r="L558" s="16"/>
      <c r="M558" s="16"/>
      <c r="N558" s="3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 ht="12.75" customHeight="1">
      <c r="A559" s="6"/>
      <c r="B559" s="194"/>
      <c r="C559" s="195"/>
      <c r="D559" s="4"/>
      <c r="E559" s="39"/>
      <c r="F559" s="196"/>
      <c r="G559" s="197"/>
      <c r="H559" s="197"/>
      <c r="I559" s="16"/>
      <c r="J559" s="16"/>
      <c r="K559" s="16"/>
      <c r="L559" s="16"/>
      <c r="M559" s="16"/>
      <c r="N559" s="3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 ht="12.75" customHeight="1">
      <c r="A560" s="6"/>
      <c r="B560" s="194"/>
      <c r="C560" s="195"/>
      <c r="D560" s="4"/>
      <c r="E560" s="39"/>
      <c r="F560" s="196"/>
      <c r="G560" s="197"/>
      <c r="H560" s="197"/>
      <c r="I560" s="16"/>
      <c r="J560" s="16"/>
      <c r="K560" s="16"/>
      <c r="L560" s="16"/>
      <c r="M560" s="16"/>
      <c r="N560" s="3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 ht="12.75" customHeight="1">
      <c r="A561" s="6"/>
      <c r="B561" s="194"/>
      <c r="C561" s="195"/>
      <c r="D561" s="4"/>
      <c r="E561" s="39"/>
      <c r="F561" s="196"/>
      <c r="G561" s="197"/>
      <c r="H561" s="197"/>
      <c r="I561" s="16"/>
      <c r="J561" s="16"/>
      <c r="K561" s="16"/>
      <c r="L561" s="16"/>
      <c r="M561" s="16"/>
      <c r="N561" s="3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 ht="12.75" customHeight="1">
      <c r="A562" s="6"/>
      <c r="B562" s="194"/>
      <c r="C562" s="195"/>
      <c r="D562" s="4"/>
      <c r="E562" s="39"/>
      <c r="F562" s="196"/>
      <c r="G562" s="197"/>
      <c r="H562" s="197"/>
      <c r="I562" s="16"/>
      <c r="J562" s="16"/>
      <c r="K562" s="16"/>
      <c r="L562" s="16"/>
      <c r="M562" s="16"/>
      <c r="N562" s="3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 ht="12.75" customHeight="1">
      <c r="A563" s="6"/>
      <c r="B563" s="194"/>
      <c r="C563" s="195"/>
      <c r="D563" s="4"/>
      <c r="E563" s="39"/>
      <c r="F563" s="196"/>
      <c r="G563" s="197"/>
      <c r="H563" s="197"/>
      <c r="I563" s="16"/>
      <c r="J563" s="16"/>
      <c r="K563" s="16"/>
      <c r="L563" s="16"/>
      <c r="M563" s="16"/>
      <c r="N563" s="3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 ht="12.75" customHeight="1">
      <c r="A564" s="6"/>
      <c r="B564" s="194"/>
      <c r="C564" s="195"/>
      <c r="D564" s="4"/>
      <c r="E564" s="39"/>
      <c r="F564" s="196"/>
      <c r="G564" s="197"/>
      <c r="H564" s="197"/>
      <c r="I564" s="16"/>
      <c r="J564" s="16"/>
      <c r="K564" s="16"/>
      <c r="L564" s="16"/>
      <c r="M564" s="16"/>
      <c r="N564" s="3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 ht="12.75" customHeight="1">
      <c r="A565" s="6"/>
      <c r="B565" s="194"/>
      <c r="C565" s="195"/>
      <c r="D565" s="4"/>
      <c r="E565" s="39"/>
      <c r="F565" s="196"/>
      <c r="G565" s="197"/>
      <c r="H565" s="197"/>
      <c r="I565" s="16"/>
      <c r="J565" s="16"/>
      <c r="K565" s="16"/>
      <c r="L565" s="16"/>
      <c r="M565" s="16"/>
      <c r="N565" s="3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 ht="12.75" customHeight="1">
      <c r="A566" s="6"/>
      <c r="B566" s="194"/>
      <c r="C566" s="195"/>
      <c r="D566" s="4"/>
      <c r="E566" s="39"/>
      <c r="F566" s="196"/>
      <c r="G566" s="197"/>
      <c r="H566" s="197"/>
      <c r="I566" s="16"/>
      <c r="J566" s="16"/>
      <c r="K566" s="16"/>
      <c r="L566" s="16"/>
      <c r="M566" s="16"/>
      <c r="N566" s="3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 ht="12.75" customHeight="1">
      <c r="A567" s="6"/>
      <c r="B567" s="194"/>
      <c r="C567" s="195"/>
      <c r="D567" s="4"/>
      <c r="E567" s="39"/>
      <c r="F567" s="196"/>
      <c r="G567" s="197"/>
      <c r="H567" s="197"/>
      <c r="I567" s="16"/>
      <c r="J567" s="16"/>
      <c r="K567" s="16"/>
      <c r="L567" s="16"/>
      <c r="M567" s="16"/>
      <c r="N567" s="3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 ht="12.75" customHeight="1">
      <c r="A568" s="6"/>
      <c r="B568" s="194"/>
      <c r="C568" s="195"/>
      <c r="D568" s="4"/>
      <c r="E568" s="39"/>
      <c r="F568" s="196"/>
      <c r="G568" s="197"/>
      <c r="H568" s="197"/>
      <c r="I568" s="16"/>
      <c r="J568" s="16"/>
      <c r="K568" s="16"/>
      <c r="L568" s="16"/>
      <c r="M568" s="16"/>
      <c r="N568" s="3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 ht="12.75" customHeight="1">
      <c r="A569" s="6"/>
      <c r="B569" s="194"/>
      <c r="C569" s="195"/>
      <c r="D569" s="4"/>
      <c r="E569" s="39"/>
      <c r="F569" s="196"/>
      <c r="G569" s="197"/>
      <c r="H569" s="197"/>
      <c r="I569" s="16"/>
      <c r="J569" s="16"/>
      <c r="K569" s="16"/>
      <c r="L569" s="16"/>
      <c r="M569" s="16"/>
      <c r="N569" s="3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 ht="12.75" customHeight="1">
      <c r="A570" s="6"/>
      <c r="B570" s="194"/>
      <c r="C570" s="195"/>
      <c r="D570" s="4"/>
      <c r="E570" s="39"/>
      <c r="F570" s="196"/>
      <c r="G570" s="197"/>
      <c r="H570" s="197"/>
      <c r="I570" s="16"/>
      <c r="J570" s="16"/>
      <c r="K570" s="16"/>
      <c r="L570" s="16"/>
      <c r="M570" s="16"/>
      <c r="N570" s="3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 ht="12.75" customHeight="1">
      <c r="A571" s="6"/>
      <c r="B571" s="194"/>
      <c r="C571" s="195"/>
      <c r="D571" s="4"/>
      <c r="E571" s="39"/>
      <c r="F571" s="196"/>
      <c r="G571" s="197"/>
      <c r="H571" s="197"/>
      <c r="I571" s="16"/>
      <c r="J571" s="16"/>
      <c r="K571" s="16"/>
      <c r="L571" s="16"/>
      <c r="M571" s="16"/>
      <c r="N571" s="3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 ht="12.75" customHeight="1">
      <c r="A572" s="6"/>
      <c r="B572" s="194"/>
      <c r="C572" s="195"/>
      <c r="D572" s="4"/>
      <c r="E572" s="39"/>
      <c r="F572" s="196"/>
      <c r="G572" s="197"/>
      <c r="H572" s="197"/>
      <c r="I572" s="16"/>
      <c r="J572" s="16"/>
      <c r="K572" s="16"/>
      <c r="L572" s="16"/>
      <c r="M572" s="16"/>
      <c r="N572" s="3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ht="12.75" customHeight="1">
      <c r="A573" s="6"/>
      <c r="B573" s="194"/>
      <c r="C573" s="195"/>
      <c r="D573" s="4"/>
      <c r="E573" s="39"/>
      <c r="F573" s="196"/>
      <c r="G573" s="197"/>
      <c r="H573" s="197"/>
      <c r="I573" s="16"/>
      <c r="J573" s="16"/>
      <c r="K573" s="16"/>
      <c r="L573" s="16"/>
      <c r="M573" s="16"/>
      <c r="N573" s="3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 ht="12.75" customHeight="1">
      <c r="A574" s="6"/>
      <c r="B574" s="194"/>
      <c r="C574" s="195"/>
      <c r="D574" s="4"/>
      <c r="E574" s="39"/>
      <c r="F574" s="196"/>
      <c r="G574" s="197"/>
      <c r="H574" s="197"/>
      <c r="I574" s="16"/>
      <c r="J574" s="16"/>
      <c r="K574" s="16"/>
      <c r="L574" s="16"/>
      <c r="M574" s="16"/>
      <c r="N574" s="3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 ht="12.75" customHeight="1">
      <c r="A575" s="6"/>
      <c r="B575" s="194"/>
      <c r="C575" s="195"/>
      <c r="D575" s="4"/>
      <c r="E575" s="39"/>
      <c r="F575" s="196"/>
      <c r="G575" s="197"/>
      <c r="H575" s="197"/>
      <c r="I575" s="16"/>
      <c r="J575" s="16"/>
      <c r="K575" s="16"/>
      <c r="L575" s="16"/>
      <c r="M575" s="16"/>
      <c r="N575" s="3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 ht="12.75" customHeight="1">
      <c r="A576" s="6"/>
      <c r="B576" s="194"/>
      <c r="C576" s="195"/>
      <c r="D576" s="4"/>
      <c r="E576" s="39"/>
      <c r="F576" s="196"/>
      <c r="G576" s="197"/>
      <c r="H576" s="197"/>
      <c r="I576" s="16"/>
      <c r="J576" s="16"/>
      <c r="K576" s="16"/>
      <c r="L576" s="16"/>
      <c r="M576" s="16"/>
      <c r="N576" s="3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 ht="12.75" customHeight="1">
      <c r="A577" s="6"/>
      <c r="B577" s="194"/>
      <c r="C577" s="195"/>
      <c r="D577" s="4"/>
      <c r="E577" s="39"/>
      <c r="F577" s="196"/>
      <c r="G577" s="197"/>
      <c r="H577" s="197"/>
      <c r="I577" s="16"/>
      <c r="J577" s="16"/>
      <c r="K577" s="16"/>
      <c r="L577" s="16"/>
      <c r="M577" s="16"/>
      <c r="N577" s="3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 ht="12.75" customHeight="1">
      <c r="A578" s="6"/>
      <c r="B578" s="194"/>
      <c r="C578" s="195"/>
      <c r="D578" s="4"/>
      <c r="E578" s="39"/>
      <c r="F578" s="196"/>
      <c r="G578" s="197"/>
      <c r="H578" s="197"/>
      <c r="I578" s="16"/>
      <c r="J578" s="16"/>
      <c r="K578" s="16"/>
      <c r="L578" s="16"/>
      <c r="M578" s="16"/>
      <c r="N578" s="3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 ht="12.75" customHeight="1">
      <c r="A579" s="6"/>
      <c r="B579" s="194"/>
      <c r="C579" s="195"/>
      <c r="D579" s="4"/>
      <c r="E579" s="39"/>
      <c r="F579" s="196"/>
      <c r="G579" s="197"/>
      <c r="H579" s="197"/>
      <c r="I579" s="16"/>
      <c r="J579" s="16"/>
      <c r="K579" s="16"/>
      <c r="L579" s="16"/>
      <c r="M579" s="16"/>
      <c r="N579" s="3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 ht="12.75" customHeight="1">
      <c r="A580" s="6"/>
      <c r="B580" s="194"/>
      <c r="C580" s="195"/>
      <c r="D580" s="4"/>
      <c r="E580" s="39"/>
      <c r="F580" s="196"/>
      <c r="G580" s="197"/>
      <c r="H580" s="197"/>
      <c r="I580" s="16"/>
      <c r="J580" s="16"/>
      <c r="K580" s="16"/>
      <c r="L580" s="16"/>
      <c r="M580" s="16"/>
      <c r="N580" s="3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 ht="12.75" customHeight="1">
      <c r="A581" s="6"/>
      <c r="B581" s="194"/>
      <c r="C581" s="195"/>
      <c r="D581" s="4"/>
      <c r="E581" s="39"/>
      <c r="F581" s="196"/>
      <c r="G581" s="197"/>
      <c r="H581" s="197"/>
      <c r="I581" s="16"/>
      <c r="J581" s="16"/>
      <c r="K581" s="16"/>
      <c r="L581" s="16"/>
      <c r="M581" s="16"/>
      <c r="N581" s="3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 ht="12.75" customHeight="1">
      <c r="A582" s="6"/>
      <c r="B582" s="194"/>
      <c r="C582" s="195"/>
      <c r="D582" s="4"/>
      <c r="E582" s="39"/>
      <c r="F582" s="196"/>
      <c r="G582" s="197"/>
      <c r="H582" s="197"/>
      <c r="I582" s="16"/>
      <c r="J582" s="16"/>
      <c r="K582" s="16"/>
      <c r="L582" s="16"/>
      <c r="M582" s="16"/>
      <c r="N582" s="3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 ht="12.75" customHeight="1">
      <c r="A583" s="6"/>
      <c r="B583" s="194"/>
      <c r="C583" s="195"/>
      <c r="D583" s="4"/>
      <c r="E583" s="39"/>
      <c r="F583" s="196"/>
      <c r="G583" s="197"/>
      <c r="H583" s="197"/>
      <c r="I583" s="16"/>
      <c r="J583" s="16"/>
      <c r="K583" s="16"/>
      <c r="L583" s="16"/>
      <c r="M583" s="16"/>
      <c r="N583" s="3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 ht="12.75" customHeight="1">
      <c r="A584" s="6"/>
      <c r="B584" s="194"/>
      <c r="C584" s="195"/>
      <c r="D584" s="4"/>
      <c r="E584" s="39"/>
      <c r="F584" s="196"/>
      <c r="G584" s="197"/>
      <c r="H584" s="197"/>
      <c r="I584" s="16"/>
      <c r="J584" s="16"/>
      <c r="K584" s="16"/>
      <c r="L584" s="16"/>
      <c r="M584" s="16"/>
      <c r="N584" s="3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 ht="12.75" customHeight="1">
      <c r="A585" s="6"/>
      <c r="B585" s="194"/>
      <c r="C585" s="195"/>
      <c r="D585" s="4"/>
      <c r="E585" s="39"/>
      <c r="F585" s="196"/>
      <c r="G585" s="197"/>
      <c r="H585" s="197"/>
      <c r="I585" s="16"/>
      <c r="J585" s="16"/>
      <c r="K585" s="16"/>
      <c r="L585" s="16"/>
      <c r="M585" s="16"/>
      <c r="N585" s="3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 ht="12.75" customHeight="1">
      <c r="A586" s="6"/>
      <c r="B586" s="194"/>
      <c r="C586" s="195"/>
      <c r="D586" s="4"/>
      <c r="E586" s="39"/>
      <c r="F586" s="196"/>
      <c r="G586" s="197"/>
      <c r="H586" s="197"/>
      <c r="I586" s="16"/>
      <c r="J586" s="16"/>
      <c r="K586" s="16"/>
      <c r="L586" s="16"/>
      <c r="M586" s="16"/>
      <c r="N586" s="3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 ht="12.75" customHeight="1">
      <c r="A587" s="6"/>
      <c r="B587" s="194"/>
      <c r="C587" s="195"/>
      <c r="D587" s="4"/>
      <c r="E587" s="39"/>
      <c r="F587" s="196"/>
      <c r="G587" s="197"/>
      <c r="H587" s="197"/>
      <c r="I587" s="16"/>
      <c r="J587" s="16"/>
      <c r="K587" s="16"/>
      <c r="L587" s="16"/>
      <c r="M587" s="16"/>
      <c r="N587" s="3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 ht="12.75" customHeight="1">
      <c r="A588" s="6"/>
      <c r="B588" s="194"/>
      <c r="C588" s="195"/>
      <c r="D588" s="4"/>
      <c r="E588" s="39"/>
      <c r="F588" s="196"/>
      <c r="G588" s="197"/>
      <c r="H588" s="197"/>
      <c r="I588" s="16"/>
      <c r="J588" s="16"/>
      <c r="K588" s="16"/>
      <c r="L588" s="16"/>
      <c r="M588" s="16"/>
      <c r="N588" s="3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 ht="12.75" customHeight="1">
      <c r="A589" s="6"/>
      <c r="B589" s="194"/>
      <c r="C589" s="195"/>
      <c r="D589" s="4"/>
      <c r="E589" s="39"/>
      <c r="F589" s="196"/>
      <c r="G589" s="197"/>
      <c r="H589" s="197"/>
      <c r="I589" s="16"/>
      <c r="J589" s="16"/>
      <c r="K589" s="16"/>
      <c r="L589" s="16"/>
      <c r="M589" s="16"/>
      <c r="N589" s="3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 ht="12.75" customHeight="1">
      <c r="A590" s="6"/>
      <c r="B590" s="194"/>
      <c r="C590" s="195"/>
      <c r="D590" s="4"/>
      <c r="E590" s="39"/>
      <c r="F590" s="196"/>
      <c r="G590" s="197"/>
      <c r="H590" s="197"/>
      <c r="I590" s="16"/>
      <c r="J590" s="16"/>
      <c r="K590" s="16"/>
      <c r="L590" s="16"/>
      <c r="M590" s="16"/>
      <c r="N590" s="3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 ht="12.75" customHeight="1">
      <c r="A591" s="6"/>
      <c r="B591" s="194"/>
      <c r="C591" s="195"/>
      <c r="D591" s="4"/>
      <c r="E591" s="39"/>
      <c r="F591" s="196"/>
      <c r="G591" s="197"/>
      <c r="H591" s="197"/>
      <c r="I591" s="16"/>
      <c r="J591" s="16"/>
      <c r="K591" s="16"/>
      <c r="L591" s="16"/>
      <c r="M591" s="16"/>
      <c r="N591" s="3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 ht="12.75" customHeight="1">
      <c r="A592" s="6"/>
      <c r="B592" s="194"/>
      <c r="C592" s="195"/>
      <c r="D592" s="4"/>
      <c r="E592" s="39"/>
      <c r="F592" s="196"/>
      <c r="G592" s="197"/>
      <c r="H592" s="197"/>
      <c r="I592" s="16"/>
      <c r="J592" s="16"/>
      <c r="K592" s="16"/>
      <c r="L592" s="16"/>
      <c r="M592" s="16"/>
      <c r="N592" s="3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 ht="12.75" customHeight="1">
      <c r="A593" s="6"/>
      <c r="B593" s="194"/>
      <c r="C593" s="195"/>
      <c r="D593" s="4"/>
      <c r="E593" s="39"/>
      <c r="F593" s="196"/>
      <c r="G593" s="197"/>
      <c r="H593" s="197"/>
      <c r="I593" s="16"/>
      <c r="J593" s="16"/>
      <c r="K593" s="16"/>
      <c r="L593" s="16"/>
      <c r="M593" s="16"/>
      <c r="N593" s="3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 ht="12.75" customHeight="1">
      <c r="A594" s="6"/>
      <c r="B594" s="194"/>
      <c r="C594" s="195"/>
      <c r="D594" s="4"/>
      <c r="E594" s="39"/>
      <c r="F594" s="196"/>
      <c r="G594" s="197"/>
      <c r="H594" s="197"/>
      <c r="I594" s="16"/>
      <c r="J594" s="16"/>
      <c r="K594" s="16"/>
      <c r="L594" s="16"/>
      <c r="M594" s="16"/>
      <c r="N594" s="3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 ht="12.75" customHeight="1">
      <c r="A595" s="6"/>
      <c r="B595" s="194"/>
      <c r="C595" s="195"/>
      <c r="D595" s="4"/>
      <c r="E595" s="39"/>
      <c r="F595" s="196"/>
      <c r="G595" s="197"/>
      <c r="H595" s="197"/>
      <c r="I595" s="16"/>
      <c r="J595" s="16"/>
      <c r="K595" s="16"/>
      <c r="L595" s="16"/>
      <c r="M595" s="16"/>
      <c r="N595" s="3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 ht="12.75" customHeight="1">
      <c r="A596" s="6"/>
      <c r="B596" s="194"/>
      <c r="C596" s="195"/>
      <c r="D596" s="4"/>
      <c r="E596" s="39"/>
      <c r="F596" s="196"/>
      <c r="G596" s="197"/>
      <c r="H596" s="197"/>
      <c r="I596" s="16"/>
      <c r="J596" s="16"/>
      <c r="K596" s="16"/>
      <c r="L596" s="16"/>
      <c r="M596" s="16"/>
      <c r="N596" s="3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 ht="12.75" customHeight="1">
      <c r="A597" s="6"/>
      <c r="B597" s="194"/>
      <c r="C597" s="195"/>
      <c r="D597" s="4"/>
      <c r="E597" s="39"/>
      <c r="F597" s="196"/>
      <c r="G597" s="197"/>
      <c r="H597" s="197"/>
      <c r="I597" s="16"/>
      <c r="J597" s="16"/>
      <c r="K597" s="16"/>
      <c r="L597" s="16"/>
      <c r="M597" s="16"/>
      <c r="N597" s="3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 ht="12.75" customHeight="1">
      <c r="A598" s="6"/>
      <c r="B598" s="194"/>
      <c r="C598" s="195"/>
      <c r="D598" s="4"/>
      <c r="E598" s="39"/>
      <c r="F598" s="196"/>
      <c r="G598" s="197"/>
      <c r="H598" s="197"/>
      <c r="I598" s="16"/>
      <c r="J598" s="16"/>
      <c r="K598" s="16"/>
      <c r="L598" s="16"/>
      <c r="M598" s="16"/>
      <c r="N598" s="3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 ht="12.75" customHeight="1">
      <c r="A599" s="6"/>
      <c r="B599" s="194"/>
      <c r="C599" s="195"/>
      <c r="D599" s="4"/>
      <c r="E599" s="39"/>
      <c r="F599" s="196"/>
      <c r="G599" s="197"/>
      <c r="H599" s="197"/>
      <c r="I599" s="16"/>
      <c r="J599" s="16"/>
      <c r="K599" s="16"/>
      <c r="L599" s="16"/>
      <c r="M599" s="16"/>
      <c r="N599" s="3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 ht="12.75" customHeight="1">
      <c r="A600" s="6"/>
      <c r="B600" s="194"/>
      <c r="C600" s="195"/>
      <c r="D600" s="4"/>
      <c r="E600" s="39"/>
      <c r="F600" s="196"/>
      <c r="G600" s="197"/>
      <c r="H600" s="197"/>
      <c r="I600" s="16"/>
      <c r="J600" s="16"/>
      <c r="K600" s="16"/>
      <c r="L600" s="16"/>
      <c r="M600" s="16"/>
      <c r="N600" s="3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 ht="12.75" customHeight="1">
      <c r="A601" s="6"/>
      <c r="B601" s="194"/>
      <c r="C601" s="195"/>
      <c r="D601" s="4"/>
      <c r="E601" s="39"/>
      <c r="F601" s="196"/>
      <c r="G601" s="197"/>
      <c r="H601" s="197"/>
      <c r="I601" s="16"/>
      <c r="J601" s="16"/>
      <c r="K601" s="16"/>
      <c r="L601" s="16"/>
      <c r="M601" s="16"/>
      <c r="N601" s="3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 ht="12.75" customHeight="1">
      <c r="A602" s="6"/>
      <c r="B602" s="194"/>
      <c r="C602" s="195"/>
      <c r="D602" s="4"/>
      <c r="E602" s="39"/>
      <c r="F602" s="196"/>
      <c r="G602" s="197"/>
      <c r="H602" s="197"/>
      <c r="I602" s="16"/>
      <c r="J602" s="16"/>
      <c r="K602" s="16"/>
      <c r="L602" s="16"/>
      <c r="M602" s="16"/>
      <c r="N602" s="3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 ht="12.75" customHeight="1">
      <c r="A603" s="6"/>
      <c r="B603" s="194"/>
      <c r="C603" s="195"/>
      <c r="D603" s="4"/>
      <c r="E603" s="39"/>
      <c r="F603" s="196"/>
      <c r="G603" s="197"/>
      <c r="H603" s="197"/>
      <c r="I603" s="16"/>
      <c r="J603" s="16"/>
      <c r="K603" s="16"/>
      <c r="L603" s="16"/>
      <c r="M603" s="16"/>
      <c r="N603" s="3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 ht="12.75" customHeight="1">
      <c r="A604" s="6"/>
      <c r="B604" s="194"/>
      <c r="C604" s="195"/>
      <c r="D604" s="4"/>
      <c r="E604" s="39"/>
      <c r="F604" s="196"/>
      <c r="G604" s="197"/>
      <c r="H604" s="197"/>
      <c r="I604" s="16"/>
      <c r="J604" s="16"/>
      <c r="K604" s="16"/>
      <c r="L604" s="16"/>
      <c r="M604" s="16"/>
      <c r="N604" s="3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 ht="12.75" customHeight="1">
      <c r="A605" s="6"/>
      <c r="B605" s="194"/>
      <c r="C605" s="195"/>
      <c r="D605" s="4"/>
      <c r="E605" s="39"/>
      <c r="F605" s="196"/>
      <c r="G605" s="197"/>
      <c r="H605" s="197"/>
      <c r="I605" s="16"/>
      <c r="J605" s="16"/>
      <c r="K605" s="16"/>
      <c r="L605" s="16"/>
      <c r="M605" s="16"/>
      <c r="N605" s="3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 ht="12.75" customHeight="1">
      <c r="A606" s="6"/>
      <c r="B606" s="194"/>
      <c r="C606" s="195"/>
      <c r="D606" s="4"/>
      <c r="E606" s="39"/>
      <c r="F606" s="196"/>
      <c r="G606" s="197"/>
      <c r="H606" s="197"/>
      <c r="I606" s="16"/>
      <c r="J606" s="16"/>
      <c r="K606" s="16"/>
      <c r="L606" s="16"/>
      <c r="M606" s="16"/>
      <c r="N606" s="3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 ht="12.75" customHeight="1">
      <c r="A607" s="6"/>
      <c r="B607" s="194"/>
      <c r="C607" s="195"/>
      <c r="D607" s="4"/>
      <c r="E607" s="39"/>
      <c r="F607" s="196"/>
      <c r="G607" s="197"/>
      <c r="H607" s="197"/>
      <c r="I607" s="16"/>
      <c r="J607" s="16"/>
      <c r="K607" s="16"/>
      <c r="L607" s="16"/>
      <c r="M607" s="16"/>
      <c r="N607" s="3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 ht="12.75" customHeight="1">
      <c r="A608" s="6"/>
      <c r="B608" s="194"/>
      <c r="C608" s="195"/>
      <c r="D608" s="4"/>
      <c r="E608" s="39"/>
      <c r="F608" s="196"/>
      <c r="G608" s="197"/>
      <c r="H608" s="197"/>
      <c r="I608" s="16"/>
      <c r="J608" s="16"/>
      <c r="K608" s="16"/>
      <c r="L608" s="16"/>
      <c r="M608" s="16"/>
      <c r="N608" s="3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 ht="12.75" customHeight="1">
      <c r="A609" s="6"/>
      <c r="B609" s="194"/>
      <c r="C609" s="195"/>
      <c r="D609" s="4"/>
      <c r="E609" s="39"/>
      <c r="F609" s="196"/>
      <c r="G609" s="197"/>
      <c r="H609" s="197"/>
      <c r="I609" s="16"/>
      <c r="J609" s="16"/>
      <c r="K609" s="16"/>
      <c r="L609" s="16"/>
      <c r="M609" s="16"/>
      <c r="N609" s="3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 ht="12.75" customHeight="1">
      <c r="A610" s="6"/>
      <c r="B610" s="194"/>
      <c r="C610" s="195"/>
      <c r="D610" s="4"/>
      <c r="E610" s="39"/>
      <c r="F610" s="196"/>
      <c r="G610" s="197"/>
      <c r="H610" s="197"/>
      <c r="I610" s="16"/>
      <c r="J610" s="16"/>
      <c r="K610" s="16"/>
      <c r="L610" s="16"/>
      <c r="M610" s="16"/>
      <c r="N610" s="3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ht="12.75" customHeight="1">
      <c r="A611" s="6"/>
      <c r="B611" s="194"/>
      <c r="C611" s="195"/>
      <c r="D611" s="4"/>
      <c r="E611" s="39"/>
      <c r="F611" s="196"/>
      <c r="G611" s="197"/>
      <c r="H611" s="197"/>
      <c r="I611" s="16"/>
      <c r="J611" s="16"/>
      <c r="K611" s="16"/>
      <c r="L611" s="16"/>
      <c r="M611" s="16"/>
      <c r="N611" s="3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 ht="12.75" customHeight="1">
      <c r="A612" s="6"/>
      <c r="B612" s="194"/>
      <c r="C612" s="195"/>
      <c r="D612" s="4"/>
      <c r="E612" s="39"/>
      <c r="F612" s="196"/>
      <c r="G612" s="197"/>
      <c r="H612" s="197"/>
      <c r="I612" s="16"/>
      <c r="J612" s="16"/>
      <c r="K612" s="16"/>
      <c r="L612" s="16"/>
      <c r="M612" s="16"/>
      <c r="N612" s="3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 ht="12.75" customHeight="1">
      <c r="A613" s="6"/>
      <c r="B613" s="194"/>
      <c r="C613" s="195"/>
      <c r="D613" s="4"/>
      <c r="E613" s="39"/>
      <c r="F613" s="196"/>
      <c r="G613" s="197"/>
      <c r="H613" s="197"/>
      <c r="I613" s="16"/>
      <c r="J613" s="16"/>
      <c r="K613" s="16"/>
      <c r="L613" s="16"/>
      <c r="M613" s="16"/>
      <c r="N613" s="3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 ht="12.75" customHeight="1">
      <c r="A614" s="6"/>
      <c r="B614" s="194"/>
      <c r="C614" s="195"/>
      <c r="D614" s="4"/>
      <c r="E614" s="39"/>
      <c r="F614" s="196"/>
      <c r="G614" s="197"/>
      <c r="H614" s="197"/>
      <c r="I614" s="16"/>
      <c r="J614" s="16"/>
      <c r="K614" s="16"/>
      <c r="L614" s="16"/>
      <c r="M614" s="16"/>
      <c r="N614" s="3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 ht="12.75" customHeight="1">
      <c r="A615" s="6"/>
      <c r="B615" s="194"/>
      <c r="C615" s="195"/>
      <c r="D615" s="4"/>
      <c r="E615" s="39"/>
      <c r="F615" s="196"/>
      <c r="G615" s="197"/>
      <c r="H615" s="197"/>
      <c r="I615" s="16"/>
      <c r="J615" s="16"/>
      <c r="K615" s="16"/>
      <c r="L615" s="16"/>
      <c r="M615" s="16"/>
      <c r="N615" s="3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 ht="12.75" customHeight="1">
      <c r="A616" s="6"/>
      <c r="B616" s="194"/>
      <c r="C616" s="195"/>
      <c r="D616" s="4"/>
      <c r="E616" s="39"/>
      <c r="F616" s="196"/>
      <c r="G616" s="197"/>
      <c r="H616" s="197"/>
      <c r="I616" s="16"/>
      <c r="J616" s="16"/>
      <c r="K616" s="16"/>
      <c r="L616" s="16"/>
      <c r="M616" s="16"/>
      <c r="N616" s="3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 ht="12.75" customHeight="1">
      <c r="A617" s="6"/>
      <c r="B617" s="194"/>
      <c r="C617" s="195"/>
      <c r="D617" s="4"/>
      <c r="E617" s="39"/>
      <c r="F617" s="196"/>
      <c r="G617" s="197"/>
      <c r="H617" s="197"/>
      <c r="I617" s="16"/>
      <c r="J617" s="16"/>
      <c r="K617" s="16"/>
      <c r="L617" s="16"/>
      <c r="M617" s="16"/>
      <c r="N617" s="3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 ht="12.75" customHeight="1">
      <c r="A618" s="6"/>
      <c r="B618" s="194"/>
      <c r="C618" s="195"/>
      <c r="D618" s="4"/>
      <c r="E618" s="39"/>
      <c r="F618" s="196"/>
      <c r="G618" s="197"/>
      <c r="H618" s="197"/>
      <c r="I618" s="16"/>
      <c r="J618" s="16"/>
      <c r="K618" s="16"/>
      <c r="L618" s="16"/>
      <c r="M618" s="16"/>
      <c r="N618" s="3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 ht="12.75" customHeight="1">
      <c r="A619" s="6"/>
      <c r="B619" s="194"/>
      <c r="C619" s="195"/>
      <c r="D619" s="4"/>
      <c r="E619" s="39"/>
      <c r="F619" s="196"/>
      <c r="G619" s="197"/>
      <c r="H619" s="197"/>
      <c r="I619" s="16"/>
      <c r="J619" s="16"/>
      <c r="K619" s="16"/>
      <c r="L619" s="16"/>
      <c r="M619" s="16"/>
      <c r="N619" s="3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 ht="12.75" customHeight="1">
      <c r="A620" s="6"/>
      <c r="B620" s="194"/>
      <c r="C620" s="195"/>
      <c r="D620" s="4"/>
      <c r="E620" s="39"/>
      <c r="F620" s="196"/>
      <c r="G620" s="197"/>
      <c r="H620" s="197"/>
      <c r="I620" s="16"/>
      <c r="J620" s="16"/>
      <c r="K620" s="16"/>
      <c r="L620" s="16"/>
      <c r="M620" s="16"/>
      <c r="N620" s="3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 ht="12.75" customHeight="1">
      <c r="A621" s="6"/>
      <c r="B621" s="194"/>
      <c r="C621" s="195"/>
      <c r="D621" s="4"/>
      <c r="E621" s="39"/>
      <c r="F621" s="196"/>
      <c r="G621" s="197"/>
      <c r="H621" s="197"/>
      <c r="I621" s="16"/>
      <c r="J621" s="16"/>
      <c r="K621" s="16"/>
      <c r="L621" s="16"/>
      <c r="M621" s="16"/>
      <c r="N621" s="3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 ht="12.75" customHeight="1">
      <c r="A622" s="6"/>
      <c r="B622" s="194"/>
      <c r="C622" s="195"/>
      <c r="D622" s="4"/>
      <c r="E622" s="39"/>
      <c r="F622" s="196"/>
      <c r="G622" s="197"/>
      <c r="H622" s="197"/>
      <c r="I622" s="16"/>
      <c r="J622" s="16"/>
      <c r="K622" s="16"/>
      <c r="L622" s="16"/>
      <c r="M622" s="16"/>
      <c r="N622" s="3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 ht="12.75" customHeight="1">
      <c r="A623" s="6"/>
      <c r="B623" s="194"/>
      <c r="C623" s="195"/>
      <c r="D623" s="4"/>
      <c r="E623" s="39"/>
      <c r="F623" s="196"/>
      <c r="G623" s="197"/>
      <c r="H623" s="197"/>
      <c r="I623" s="16"/>
      <c r="J623" s="16"/>
      <c r="K623" s="16"/>
      <c r="L623" s="16"/>
      <c r="M623" s="16"/>
      <c r="N623" s="3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 ht="12.75" customHeight="1">
      <c r="A624" s="6"/>
      <c r="B624" s="194"/>
      <c r="C624" s="195"/>
      <c r="D624" s="4"/>
      <c r="E624" s="39"/>
      <c r="F624" s="196"/>
      <c r="G624" s="197"/>
      <c r="H624" s="197"/>
      <c r="I624" s="16"/>
      <c r="J624" s="16"/>
      <c r="K624" s="16"/>
      <c r="L624" s="16"/>
      <c r="M624" s="16"/>
      <c r="N624" s="3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 ht="12.75" customHeight="1">
      <c r="A625" s="6"/>
      <c r="B625" s="194"/>
      <c r="C625" s="195"/>
      <c r="D625" s="4"/>
      <c r="E625" s="39"/>
      <c r="F625" s="196"/>
      <c r="G625" s="197"/>
      <c r="H625" s="197"/>
      <c r="I625" s="16"/>
      <c r="J625" s="16"/>
      <c r="K625" s="16"/>
      <c r="L625" s="16"/>
      <c r="M625" s="16"/>
      <c r="N625" s="3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 ht="12.75" customHeight="1">
      <c r="A626" s="6"/>
      <c r="B626" s="194"/>
      <c r="C626" s="195"/>
      <c r="D626" s="4"/>
      <c r="E626" s="39"/>
      <c r="F626" s="196"/>
      <c r="G626" s="197"/>
      <c r="H626" s="197"/>
      <c r="I626" s="16"/>
      <c r="J626" s="16"/>
      <c r="K626" s="16"/>
      <c r="L626" s="16"/>
      <c r="M626" s="16"/>
      <c r="N626" s="3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 ht="12.75" customHeight="1">
      <c r="A627" s="6"/>
      <c r="B627" s="194"/>
      <c r="C627" s="195"/>
      <c r="D627" s="4"/>
      <c r="E627" s="39"/>
      <c r="F627" s="196"/>
      <c r="G627" s="197"/>
      <c r="H627" s="197"/>
      <c r="I627" s="16"/>
      <c r="J627" s="16"/>
      <c r="K627" s="16"/>
      <c r="L627" s="16"/>
      <c r="M627" s="16"/>
      <c r="N627" s="3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 ht="12.75" customHeight="1">
      <c r="A628" s="6"/>
      <c r="B628" s="194"/>
      <c r="C628" s="195"/>
      <c r="D628" s="4"/>
      <c r="E628" s="39"/>
      <c r="F628" s="196"/>
      <c r="G628" s="197"/>
      <c r="H628" s="197"/>
      <c r="I628" s="16"/>
      <c r="J628" s="16"/>
      <c r="K628" s="16"/>
      <c r="L628" s="16"/>
      <c r="M628" s="16"/>
      <c r="N628" s="3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 ht="12.75" customHeight="1">
      <c r="A629" s="6"/>
      <c r="B629" s="194"/>
      <c r="C629" s="195"/>
      <c r="D629" s="4"/>
      <c r="E629" s="39"/>
      <c r="F629" s="196"/>
      <c r="G629" s="197"/>
      <c r="H629" s="197"/>
      <c r="I629" s="16"/>
      <c r="J629" s="16"/>
      <c r="K629" s="16"/>
      <c r="L629" s="16"/>
      <c r="M629" s="16"/>
      <c r="N629" s="3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 ht="12.75" customHeight="1">
      <c r="A630" s="6"/>
      <c r="B630" s="194"/>
      <c r="C630" s="195"/>
      <c r="D630" s="4"/>
      <c r="E630" s="39"/>
      <c r="F630" s="196"/>
      <c r="G630" s="197"/>
      <c r="H630" s="197"/>
      <c r="I630" s="16"/>
      <c r="J630" s="16"/>
      <c r="K630" s="16"/>
      <c r="L630" s="16"/>
      <c r="M630" s="16"/>
      <c r="N630" s="3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 ht="12.75" customHeight="1">
      <c r="A631" s="6"/>
      <c r="B631" s="194"/>
      <c r="C631" s="195"/>
      <c r="D631" s="4"/>
      <c r="E631" s="39"/>
      <c r="F631" s="196"/>
      <c r="G631" s="197"/>
      <c r="H631" s="197"/>
      <c r="I631" s="16"/>
      <c r="J631" s="16"/>
      <c r="K631" s="16"/>
      <c r="L631" s="16"/>
      <c r="M631" s="16"/>
      <c r="N631" s="3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 ht="12.75" customHeight="1">
      <c r="A632" s="6"/>
      <c r="B632" s="194"/>
      <c r="C632" s="195"/>
      <c r="D632" s="4"/>
      <c r="E632" s="39"/>
      <c r="F632" s="196"/>
      <c r="G632" s="197"/>
      <c r="H632" s="197"/>
      <c r="I632" s="16"/>
      <c r="J632" s="16"/>
      <c r="K632" s="16"/>
      <c r="L632" s="16"/>
      <c r="M632" s="16"/>
      <c r="N632" s="3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 ht="12.75" customHeight="1">
      <c r="A633" s="6"/>
      <c r="B633" s="194"/>
      <c r="C633" s="195"/>
      <c r="D633" s="4"/>
      <c r="E633" s="39"/>
      <c r="F633" s="196"/>
      <c r="G633" s="197"/>
      <c r="H633" s="197"/>
      <c r="I633" s="16"/>
      <c r="J633" s="16"/>
      <c r="K633" s="16"/>
      <c r="L633" s="16"/>
      <c r="M633" s="16"/>
      <c r="N633" s="3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 ht="12.75" customHeight="1">
      <c r="A634" s="6"/>
      <c r="B634" s="194"/>
      <c r="C634" s="195"/>
      <c r="D634" s="4"/>
      <c r="E634" s="39"/>
      <c r="F634" s="196"/>
      <c r="G634" s="197"/>
      <c r="H634" s="197"/>
      <c r="I634" s="16"/>
      <c r="J634" s="16"/>
      <c r="K634" s="16"/>
      <c r="L634" s="16"/>
      <c r="M634" s="16"/>
      <c r="N634" s="3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 ht="12.75" customHeight="1">
      <c r="A635" s="6"/>
      <c r="B635" s="194"/>
      <c r="C635" s="195"/>
      <c r="D635" s="4"/>
      <c r="E635" s="39"/>
      <c r="F635" s="196"/>
      <c r="G635" s="197"/>
      <c r="H635" s="197"/>
      <c r="I635" s="16"/>
      <c r="J635" s="16"/>
      <c r="K635" s="16"/>
      <c r="L635" s="16"/>
      <c r="M635" s="16"/>
      <c r="N635" s="3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 ht="12.75" customHeight="1">
      <c r="A636" s="6"/>
      <c r="B636" s="194"/>
      <c r="C636" s="195"/>
      <c r="D636" s="4"/>
      <c r="E636" s="39"/>
      <c r="F636" s="196"/>
      <c r="G636" s="197"/>
      <c r="H636" s="197"/>
      <c r="I636" s="16"/>
      <c r="J636" s="16"/>
      <c r="K636" s="16"/>
      <c r="L636" s="16"/>
      <c r="M636" s="16"/>
      <c r="N636" s="3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 ht="12.75" customHeight="1">
      <c r="A637" s="6"/>
      <c r="B637" s="194"/>
      <c r="C637" s="195"/>
      <c r="D637" s="4"/>
      <c r="E637" s="39"/>
      <c r="F637" s="196"/>
      <c r="G637" s="197"/>
      <c r="H637" s="197"/>
      <c r="I637" s="16"/>
      <c r="J637" s="16"/>
      <c r="K637" s="16"/>
      <c r="L637" s="16"/>
      <c r="M637" s="16"/>
      <c r="N637" s="3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 ht="12.75" customHeight="1">
      <c r="A638" s="6"/>
      <c r="B638" s="194"/>
      <c r="C638" s="195"/>
      <c r="D638" s="4"/>
      <c r="E638" s="39"/>
      <c r="F638" s="196"/>
      <c r="G638" s="197"/>
      <c r="H638" s="197"/>
      <c r="I638" s="16"/>
      <c r="J638" s="16"/>
      <c r="K638" s="16"/>
      <c r="L638" s="16"/>
      <c r="M638" s="16"/>
      <c r="N638" s="3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 ht="12.75" customHeight="1">
      <c r="A639" s="6"/>
      <c r="B639" s="194"/>
      <c r="C639" s="195"/>
      <c r="D639" s="4"/>
      <c r="E639" s="39"/>
      <c r="F639" s="196"/>
      <c r="G639" s="197"/>
      <c r="H639" s="197"/>
      <c r="I639" s="16"/>
      <c r="J639" s="16"/>
      <c r="K639" s="16"/>
      <c r="L639" s="16"/>
      <c r="M639" s="16"/>
      <c r="N639" s="3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 ht="12.75" customHeight="1">
      <c r="A640" s="6"/>
      <c r="B640" s="194"/>
      <c r="C640" s="195"/>
      <c r="D640" s="4"/>
      <c r="E640" s="39"/>
      <c r="F640" s="196"/>
      <c r="G640" s="197"/>
      <c r="H640" s="197"/>
      <c r="I640" s="16"/>
      <c r="J640" s="16"/>
      <c r="K640" s="16"/>
      <c r="L640" s="16"/>
      <c r="M640" s="16"/>
      <c r="N640" s="3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 ht="12.75" customHeight="1">
      <c r="A641" s="6"/>
      <c r="B641" s="194"/>
      <c r="C641" s="195"/>
      <c r="D641" s="4"/>
      <c r="E641" s="39"/>
      <c r="F641" s="196"/>
      <c r="G641" s="197"/>
      <c r="H641" s="197"/>
      <c r="I641" s="16"/>
      <c r="J641" s="16"/>
      <c r="K641" s="16"/>
      <c r="L641" s="16"/>
      <c r="M641" s="16"/>
      <c r="N641" s="3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 ht="12.75" customHeight="1">
      <c r="A642" s="6"/>
      <c r="B642" s="194"/>
      <c r="C642" s="195"/>
      <c r="D642" s="4"/>
      <c r="E642" s="39"/>
      <c r="F642" s="196"/>
      <c r="G642" s="197"/>
      <c r="H642" s="197"/>
      <c r="I642" s="16"/>
      <c r="J642" s="16"/>
      <c r="K642" s="16"/>
      <c r="L642" s="16"/>
      <c r="M642" s="16"/>
      <c r="N642" s="3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 ht="12.75" customHeight="1">
      <c r="A643" s="6"/>
      <c r="B643" s="194"/>
      <c r="C643" s="195"/>
      <c r="D643" s="4"/>
      <c r="E643" s="39"/>
      <c r="F643" s="196"/>
      <c r="G643" s="197"/>
      <c r="H643" s="197"/>
      <c r="I643" s="16"/>
      <c r="J643" s="16"/>
      <c r="K643" s="16"/>
      <c r="L643" s="16"/>
      <c r="M643" s="16"/>
      <c r="N643" s="3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 ht="12.75" customHeight="1">
      <c r="A644" s="6"/>
      <c r="B644" s="194"/>
      <c r="C644" s="195"/>
      <c r="D644" s="4"/>
      <c r="E644" s="39"/>
      <c r="F644" s="196"/>
      <c r="G644" s="197"/>
      <c r="H644" s="197"/>
      <c r="I644" s="16"/>
      <c r="J644" s="16"/>
      <c r="K644" s="16"/>
      <c r="L644" s="16"/>
      <c r="M644" s="16"/>
      <c r="N644" s="3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 ht="12.75" customHeight="1">
      <c r="A645" s="6"/>
      <c r="B645" s="194"/>
      <c r="C645" s="195"/>
      <c r="D645" s="4"/>
      <c r="E645" s="39"/>
      <c r="F645" s="196"/>
      <c r="G645" s="197"/>
      <c r="H645" s="197"/>
      <c r="I645" s="16"/>
      <c r="J645" s="16"/>
      <c r="K645" s="16"/>
      <c r="L645" s="16"/>
      <c r="M645" s="16"/>
      <c r="N645" s="3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 ht="12.75" customHeight="1">
      <c r="A646" s="6"/>
      <c r="B646" s="194"/>
      <c r="C646" s="195"/>
      <c r="D646" s="4"/>
      <c r="E646" s="39"/>
      <c r="F646" s="196"/>
      <c r="G646" s="197"/>
      <c r="H646" s="197"/>
      <c r="I646" s="16"/>
      <c r="J646" s="16"/>
      <c r="K646" s="16"/>
      <c r="L646" s="16"/>
      <c r="M646" s="16"/>
      <c r="N646" s="3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 ht="12.75" customHeight="1">
      <c r="A647" s="6"/>
      <c r="B647" s="194"/>
      <c r="C647" s="195"/>
      <c r="D647" s="4"/>
      <c r="E647" s="39"/>
      <c r="F647" s="196"/>
      <c r="G647" s="197"/>
      <c r="H647" s="197"/>
      <c r="I647" s="16"/>
      <c r="J647" s="16"/>
      <c r="K647" s="16"/>
      <c r="L647" s="16"/>
      <c r="M647" s="16"/>
      <c r="N647" s="3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 ht="12.75" customHeight="1">
      <c r="A648" s="6"/>
      <c r="B648" s="194"/>
      <c r="C648" s="195"/>
      <c r="D648" s="4"/>
      <c r="E648" s="39"/>
      <c r="F648" s="196"/>
      <c r="G648" s="197"/>
      <c r="H648" s="197"/>
      <c r="I648" s="16"/>
      <c r="J648" s="16"/>
      <c r="K648" s="16"/>
      <c r="L648" s="16"/>
      <c r="M648" s="16"/>
      <c r="N648" s="3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 ht="12.75" customHeight="1">
      <c r="A649" s="6"/>
      <c r="B649" s="194"/>
      <c r="C649" s="195"/>
      <c r="D649" s="4"/>
      <c r="E649" s="39"/>
      <c r="F649" s="196"/>
      <c r="G649" s="197"/>
      <c r="H649" s="197"/>
      <c r="I649" s="16"/>
      <c r="J649" s="16"/>
      <c r="K649" s="16"/>
      <c r="L649" s="16"/>
      <c r="M649" s="16"/>
      <c r="N649" s="3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 ht="12.75" customHeight="1">
      <c r="A650" s="6"/>
      <c r="B650" s="194"/>
      <c r="C650" s="195"/>
      <c r="D650" s="4"/>
      <c r="E650" s="39"/>
      <c r="F650" s="196"/>
      <c r="G650" s="197"/>
      <c r="H650" s="197"/>
      <c r="I650" s="16"/>
      <c r="J650" s="16"/>
      <c r="K650" s="16"/>
      <c r="L650" s="16"/>
      <c r="M650" s="16"/>
      <c r="N650" s="3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 ht="12.75" customHeight="1">
      <c r="A651" s="6"/>
      <c r="B651" s="194"/>
      <c r="C651" s="195"/>
      <c r="D651" s="4"/>
      <c r="E651" s="39"/>
      <c r="F651" s="196"/>
      <c r="G651" s="197"/>
      <c r="H651" s="197"/>
      <c r="I651" s="16"/>
      <c r="J651" s="16"/>
      <c r="K651" s="16"/>
      <c r="L651" s="16"/>
      <c r="M651" s="16"/>
      <c r="N651" s="3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 ht="12.75" customHeight="1">
      <c r="A652" s="6"/>
      <c r="B652" s="194"/>
      <c r="C652" s="195"/>
      <c r="D652" s="4"/>
      <c r="E652" s="39"/>
      <c r="F652" s="196"/>
      <c r="G652" s="197"/>
      <c r="H652" s="197"/>
      <c r="I652" s="16"/>
      <c r="J652" s="16"/>
      <c r="K652" s="16"/>
      <c r="L652" s="16"/>
      <c r="M652" s="16"/>
      <c r="N652" s="3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 ht="12.75" customHeight="1">
      <c r="A653" s="6"/>
      <c r="B653" s="194"/>
      <c r="C653" s="195"/>
      <c r="D653" s="4"/>
      <c r="E653" s="39"/>
      <c r="F653" s="196"/>
      <c r="G653" s="197"/>
      <c r="H653" s="197"/>
      <c r="I653" s="16"/>
      <c r="J653" s="16"/>
      <c r="K653" s="16"/>
      <c r="L653" s="16"/>
      <c r="M653" s="16"/>
      <c r="N653" s="3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 ht="12.75" customHeight="1">
      <c r="A654" s="6"/>
      <c r="B654" s="194"/>
      <c r="C654" s="195"/>
      <c r="D654" s="4"/>
      <c r="E654" s="39"/>
      <c r="F654" s="196"/>
      <c r="G654" s="197"/>
      <c r="H654" s="197"/>
      <c r="I654" s="16"/>
      <c r="J654" s="16"/>
      <c r="K654" s="16"/>
      <c r="L654" s="16"/>
      <c r="M654" s="16"/>
      <c r="N654" s="3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 ht="12.75" customHeight="1">
      <c r="A655" s="6"/>
      <c r="B655" s="194"/>
      <c r="C655" s="195"/>
      <c r="D655" s="4"/>
      <c r="E655" s="39"/>
      <c r="F655" s="196"/>
      <c r="G655" s="197"/>
      <c r="H655" s="197"/>
      <c r="I655" s="16"/>
      <c r="J655" s="16"/>
      <c r="K655" s="16"/>
      <c r="L655" s="16"/>
      <c r="M655" s="16"/>
      <c r="N655" s="3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 ht="12.75" customHeight="1">
      <c r="A656" s="6"/>
      <c r="B656" s="194"/>
      <c r="C656" s="195"/>
      <c r="D656" s="4"/>
      <c r="E656" s="39"/>
      <c r="F656" s="196"/>
      <c r="G656" s="197"/>
      <c r="H656" s="197"/>
      <c r="I656" s="16"/>
      <c r="J656" s="16"/>
      <c r="K656" s="16"/>
      <c r="L656" s="16"/>
      <c r="M656" s="16"/>
      <c r="N656" s="3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 ht="12.75" customHeight="1">
      <c r="A657" s="6"/>
      <c r="B657" s="194"/>
      <c r="C657" s="195"/>
      <c r="D657" s="4"/>
      <c r="E657" s="39"/>
      <c r="F657" s="196"/>
      <c r="G657" s="197"/>
      <c r="H657" s="197"/>
      <c r="I657" s="16"/>
      <c r="J657" s="16"/>
      <c r="K657" s="16"/>
      <c r="L657" s="16"/>
      <c r="M657" s="16"/>
      <c r="N657" s="3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 ht="12.75" customHeight="1">
      <c r="A658" s="6"/>
      <c r="B658" s="194"/>
      <c r="C658" s="195"/>
      <c r="D658" s="4"/>
      <c r="E658" s="39"/>
      <c r="F658" s="196"/>
      <c r="G658" s="197"/>
      <c r="H658" s="197"/>
      <c r="I658" s="16"/>
      <c r="J658" s="16"/>
      <c r="K658" s="16"/>
      <c r="L658" s="16"/>
      <c r="M658" s="16"/>
      <c r="N658" s="3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 ht="12.75" customHeight="1">
      <c r="A659" s="6"/>
      <c r="B659" s="194"/>
      <c r="C659" s="195"/>
      <c r="D659" s="4"/>
      <c r="E659" s="39"/>
      <c r="F659" s="196"/>
      <c r="G659" s="197"/>
      <c r="H659" s="197"/>
      <c r="I659" s="16"/>
      <c r="J659" s="16"/>
      <c r="K659" s="16"/>
      <c r="L659" s="16"/>
      <c r="M659" s="16"/>
      <c r="N659" s="3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 ht="12.75" customHeight="1">
      <c r="A660" s="6"/>
      <c r="B660" s="194"/>
      <c r="C660" s="195"/>
      <c r="D660" s="4"/>
      <c r="E660" s="39"/>
      <c r="F660" s="196"/>
      <c r="G660" s="197"/>
      <c r="H660" s="197"/>
      <c r="I660" s="16"/>
      <c r="J660" s="16"/>
      <c r="K660" s="16"/>
      <c r="L660" s="16"/>
      <c r="M660" s="16"/>
      <c r="N660" s="3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 ht="12.75" customHeight="1">
      <c r="A661" s="6"/>
      <c r="B661" s="194"/>
      <c r="C661" s="195"/>
      <c r="D661" s="4"/>
      <c r="E661" s="39"/>
      <c r="F661" s="196"/>
      <c r="G661" s="197"/>
      <c r="H661" s="197"/>
      <c r="I661" s="16"/>
      <c r="J661" s="16"/>
      <c r="K661" s="16"/>
      <c r="L661" s="16"/>
      <c r="M661" s="16"/>
      <c r="N661" s="3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 ht="12.75" customHeight="1">
      <c r="A662" s="6"/>
      <c r="B662" s="194"/>
      <c r="C662" s="195"/>
      <c r="D662" s="4"/>
      <c r="E662" s="39"/>
      <c r="F662" s="196"/>
      <c r="G662" s="197"/>
      <c r="H662" s="197"/>
      <c r="I662" s="16"/>
      <c r="J662" s="16"/>
      <c r="K662" s="16"/>
      <c r="L662" s="16"/>
      <c r="M662" s="16"/>
      <c r="N662" s="3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 ht="12.75" customHeight="1">
      <c r="A663" s="6"/>
      <c r="B663" s="194"/>
      <c r="C663" s="195"/>
      <c r="D663" s="4"/>
      <c r="E663" s="39"/>
      <c r="F663" s="196"/>
      <c r="G663" s="197"/>
      <c r="H663" s="197"/>
      <c r="I663" s="16"/>
      <c r="J663" s="16"/>
      <c r="K663" s="16"/>
      <c r="L663" s="16"/>
      <c r="M663" s="16"/>
      <c r="N663" s="3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 ht="12.75" customHeight="1">
      <c r="A664" s="6"/>
      <c r="B664" s="194"/>
      <c r="C664" s="195"/>
      <c r="D664" s="4"/>
      <c r="E664" s="39"/>
      <c r="F664" s="196"/>
      <c r="G664" s="197"/>
      <c r="H664" s="197"/>
      <c r="I664" s="16"/>
      <c r="J664" s="16"/>
      <c r="K664" s="16"/>
      <c r="L664" s="16"/>
      <c r="M664" s="16"/>
      <c r="N664" s="3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 ht="12.75" customHeight="1">
      <c r="A665" s="6"/>
      <c r="B665" s="194"/>
      <c r="C665" s="195"/>
      <c r="D665" s="4"/>
      <c r="E665" s="39"/>
      <c r="F665" s="196"/>
      <c r="G665" s="197"/>
      <c r="H665" s="197"/>
      <c r="I665" s="16"/>
      <c r="J665" s="16"/>
      <c r="K665" s="16"/>
      <c r="L665" s="16"/>
      <c r="M665" s="16"/>
      <c r="N665" s="3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 ht="12.75" customHeight="1">
      <c r="A666" s="6"/>
      <c r="B666" s="194"/>
      <c r="C666" s="195"/>
      <c r="D666" s="4"/>
      <c r="E666" s="39"/>
      <c r="F666" s="196"/>
      <c r="G666" s="197"/>
      <c r="H666" s="197"/>
      <c r="I666" s="16"/>
      <c r="J666" s="16"/>
      <c r="K666" s="16"/>
      <c r="L666" s="16"/>
      <c r="M666" s="16"/>
      <c r="N666" s="3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 ht="12.75" customHeight="1">
      <c r="A667" s="6"/>
      <c r="B667" s="194"/>
      <c r="C667" s="195"/>
      <c r="D667" s="4"/>
      <c r="E667" s="39"/>
      <c r="F667" s="196"/>
      <c r="G667" s="197"/>
      <c r="H667" s="197"/>
      <c r="I667" s="16"/>
      <c r="J667" s="16"/>
      <c r="K667" s="16"/>
      <c r="L667" s="16"/>
      <c r="M667" s="16"/>
      <c r="N667" s="3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 ht="12.75" customHeight="1">
      <c r="A668" s="6"/>
      <c r="B668" s="194"/>
      <c r="C668" s="195"/>
      <c r="D668" s="4"/>
      <c r="E668" s="39"/>
      <c r="F668" s="196"/>
      <c r="G668" s="197"/>
      <c r="H668" s="197"/>
      <c r="I668" s="16"/>
      <c r="J668" s="16"/>
      <c r="K668" s="16"/>
      <c r="L668" s="16"/>
      <c r="M668" s="16"/>
      <c r="N668" s="3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 ht="12.75" customHeight="1">
      <c r="A669" s="6"/>
      <c r="B669" s="194"/>
      <c r="C669" s="195"/>
      <c r="D669" s="4"/>
      <c r="E669" s="39"/>
      <c r="F669" s="196"/>
      <c r="G669" s="197"/>
      <c r="H669" s="197"/>
      <c r="I669" s="16"/>
      <c r="J669" s="16"/>
      <c r="K669" s="16"/>
      <c r="L669" s="16"/>
      <c r="M669" s="16"/>
      <c r="N669" s="3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 ht="12.75" customHeight="1">
      <c r="A670" s="6"/>
      <c r="B670" s="194"/>
      <c r="C670" s="195"/>
      <c r="D670" s="4"/>
      <c r="E670" s="39"/>
      <c r="F670" s="196"/>
      <c r="G670" s="197"/>
      <c r="H670" s="197"/>
      <c r="I670" s="16"/>
      <c r="J670" s="16"/>
      <c r="K670" s="16"/>
      <c r="L670" s="16"/>
      <c r="M670" s="16"/>
      <c r="N670" s="3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 ht="12.75" customHeight="1">
      <c r="A671" s="6"/>
      <c r="B671" s="194"/>
      <c r="C671" s="195"/>
      <c r="D671" s="4"/>
      <c r="E671" s="39"/>
      <c r="F671" s="196"/>
      <c r="G671" s="197"/>
      <c r="H671" s="197"/>
      <c r="I671" s="16"/>
      <c r="J671" s="16"/>
      <c r="K671" s="16"/>
      <c r="L671" s="16"/>
      <c r="M671" s="16"/>
      <c r="N671" s="3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 ht="12.75" customHeight="1">
      <c r="A672" s="6"/>
      <c r="B672" s="194"/>
      <c r="C672" s="195"/>
      <c r="D672" s="4"/>
      <c r="E672" s="39"/>
      <c r="F672" s="196"/>
      <c r="G672" s="197"/>
      <c r="H672" s="197"/>
      <c r="I672" s="16"/>
      <c r="J672" s="16"/>
      <c r="K672" s="16"/>
      <c r="L672" s="16"/>
      <c r="M672" s="16"/>
      <c r="N672" s="3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 ht="12.75" customHeight="1">
      <c r="A673" s="6"/>
      <c r="B673" s="194"/>
      <c r="C673" s="195"/>
      <c r="D673" s="4"/>
      <c r="E673" s="39"/>
      <c r="F673" s="196"/>
      <c r="G673" s="197"/>
      <c r="H673" s="197"/>
      <c r="I673" s="16"/>
      <c r="J673" s="16"/>
      <c r="K673" s="16"/>
      <c r="L673" s="16"/>
      <c r="M673" s="16"/>
      <c r="N673" s="3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 ht="12.75" customHeight="1">
      <c r="A674" s="6"/>
      <c r="B674" s="194"/>
      <c r="C674" s="195"/>
      <c r="D674" s="4"/>
      <c r="E674" s="39"/>
      <c r="F674" s="196"/>
      <c r="G674" s="197"/>
      <c r="H674" s="197"/>
      <c r="I674" s="16"/>
      <c r="J674" s="16"/>
      <c r="K674" s="16"/>
      <c r="L674" s="16"/>
      <c r="M674" s="16"/>
      <c r="N674" s="3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 ht="12.75" customHeight="1">
      <c r="A675" s="6"/>
      <c r="B675" s="194"/>
      <c r="C675" s="195"/>
      <c r="D675" s="4"/>
      <c r="E675" s="39"/>
      <c r="F675" s="196"/>
      <c r="G675" s="197"/>
      <c r="H675" s="197"/>
      <c r="I675" s="16"/>
      <c r="J675" s="16"/>
      <c r="K675" s="16"/>
      <c r="L675" s="16"/>
      <c r="M675" s="16"/>
      <c r="N675" s="3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 ht="12.75" customHeight="1">
      <c r="A676" s="6"/>
      <c r="B676" s="194"/>
      <c r="C676" s="195"/>
      <c r="D676" s="4"/>
      <c r="E676" s="39"/>
      <c r="F676" s="196"/>
      <c r="G676" s="197"/>
      <c r="H676" s="197"/>
      <c r="I676" s="16"/>
      <c r="J676" s="16"/>
      <c r="K676" s="16"/>
      <c r="L676" s="16"/>
      <c r="M676" s="16"/>
      <c r="N676" s="3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 ht="12.75" customHeight="1">
      <c r="A677" s="6"/>
      <c r="B677" s="194"/>
      <c r="C677" s="195"/>
      <c r="D677" s="4"/>
      <c r="E677" s="39"/>
      <c r="F677" s="196"/>
      <c r="G677" s="197"/>
      <c r="H677" s="197"/>
      <c r="I677" s="16"/>
      <c r="J677" s="16"/>
      <c r="K677" s="16"/>
      <c r="L677" s="16"/>
      <c r="M677" s="16"/>
      <c r="N677" s="3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 ht="12.75" customHeight="1">
      <c r="A678" s="6"/>
      <c r="B678" s="194"/>
      <c r="C678" s="195"/>
      <c r="D678" s="4"/>
      <c r="E678" s="39"/>
      <c r="F678" s="196"/>
      <c r="G678" s="197"/>
      <c r="H678" s="197"/>
      <c r="I678" s="16"/>
      <c r="J678" s="16"/>
      <c r="K678" s="16"/>
      <c r="L678" s="16"/>
      <c r="M678" s="16"/>
      <c r="N678" s="3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 ht="12.75" customHeight="1">
      <c r="A679" s="6"/>
      <c r="B679" s="194"/>
      <c r="C679" s="195"/>
      <c r="D679" s="4"/>
      <c r="E679" s="39"/>
      <c r="F679" s="196"/>
      <c r="G679" s="197"/>
      <c r="H679" s="197"/>
      <c r="I679" s="16"/>
      <c r="J679" s="16"/>
      <c r="K679" s="16"/>
      <c r="L679" s="16"/>
      <c r="M679" s="16"/>
      <c r="N679" s="3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 ht="12.75" customHeight="1">
      <c r="A680" s="6"/>
      <c r="B680" s="194"/>
      <c r="C680" s="195"/>
      <c r="D680" s="4"/>
      <c r="E680" s="39"/>
      <c r="F680" s="196"/>
      <c r="G680" s="197"/>
      <c r="H680" s="197"/>
      <c r="I680" s="16"/>
      <c r="J680" s="16"/>
      <c r="K680" s="16"/>
      <c r="L680" s="16"/>
      <c r="M680" s="16"/>
      <c r="N680" s="3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 ht="12.75" customHeight="1">
      <c r="A681" s="6"/>
      <c r="B681" s="194"/>
      <c r="C681" s="195"/>
      <c r="D681" s="4"/>
      <c r="E681" s="39"/>
      <c r="F681" s="196"/>
      <c r="G681" s="197"/>
      <c r="H681" s="197"/>
      <c r="I681" s="16"/>
      <c r="J681" s="16"/>
      <c r="K681" s="16"/>
      <c r="L681" s="16"/>
      <c r="M681" s="16"/>
      <c r="N681" s="3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 ht="12.75" customHeight="1">
      <c r="A682" s="6"/>
      <c r="B682" s="194"/>
      <c r="C682" s="195"/>
      <c r="D682" s="4"/>
      <c r="E682" s="39"/>
      <c r="F682" s="196"/>
      <c r="G682" s="197"/>
      <c r="H682" s="197"/>
      <c r="I682" s="16"/>
      <c r="J682" s="16"/>
      <c r="K682" s="16"/>
      <c r="L682" s="16"/>
      <c r="M682" s="16"/>
      <c r="N682" s="3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 ht="12.75" customHeight="1">
      <c r="A683" s="6"/>
      <c r="B683" s="194"/>
      <c r="C683" s="195"/>
      <c r="D683" s="4"/>
      <c r="E683" s="39"/>
      <c r="F683" s="196"/>
      <c r="G683" s="197"/>
      <c r="H683" s="197"/>
      <c r="I683" s="16"/>
      <c r="J683" s="16"/>
      <c r="K683" s="16"/>
      <c r="L683" s="16"/>
      <c r="M683" s="16"/>
      <c r="N683" s="3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 ht="12.75" customHeight="1">
      <c r="A684" s="6"/>
      <c r="B684" s="194"/>
      <c r="C684" s="195"/>
      <c r="D684" s="4"/>
      <c r="E684" s="39"/>
      <c r="F684" s="196"/>
      <c r="G684" s="197"/>
      <c r="H684" s="197"/>
      <c r="I684" s="16"/>
      <c r="J684" s="16"/>
      <c r="K684" s="16"/>
      <c r="L684" s="16"/>
      <c r="M684" s="16"/>
      <c r="N684" s="3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 ht="12.75" customHeight="1">
      <c r="A685" s="6"/>
      <c r="B685" s="194"/>
      <c r="C685" s="195"/>
      <c r="D685" s="4"/>
      <c r="E685" s="39"/>
      <c r="F685" s="196"/>
      <c r="G685" s="197"/>
      <c r="H685" s="197"/>
      <c r="I685" s="16"/>
      <c r="J685" s="16"/>
      <c r="K685" s="16"/>
      <c r="L685" s="16"/>
      <c r="M685" s="16"/>
      <c r="N685" s="3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 ht="12.75" customHeight="1">
      <c r="A686" s="6"/>
      <c r="B686" s="194"/>
      <c r="C686" s="195"/>
      <c r="D686" s="4"/>
      <c r="E686" s="39"/>
      <c r="F686" s="196"/>
      <c r="G686" s="197"/>
      <c r="H686" s="197"/>
      <c r="I686" s="16"/>
      <c r="J686" s="16"/>
      <c r="K686" s="16"/>
      <c r="L686" s="16"/>
      <c r="M686" s="16"/>
      <c r="N686" s="3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 ht="12.75" customHeight="1">
      <c r="A687" s="6"/>
      <c r="B687" s="194"/>
      <c r="C687" s="195"/>
      <c r="D687" s="4"/>
      <c r="E687" s="39"/>
      <c r="F687" s="196"/>
      <c r="G687" s="197"/>
      <c r="H687" s="197"/>
      <c r="I687" s="16"/>
      <c r="J687" s="16"/>
      <c r="K687" s="16"/>
      <c r="L687" s="16"/>
      <c r="M687" s="16"/>
      <c r="N687" s="3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 ht="12.75" customHeight="1">
      <c r="A688" s="6"/>
      <c r="B688" s="194"/>
      <c r="C688" s="195"/>
      <c r="D688" s="4"/>
      <c r="E688" s="39"/>
      <c r="F688" s="196"/>
      <c r="G688" s="197"/>
      <c r="H688" s="197"/>
      <c r="I688" s="16"/>
      <c r="J688" s="16"/>
      <c r="K688" s="16"/>
      <c r="L688" s="16"/>
      <c r="M688" s="16"/>
      <c r="N688" s="3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 ht="12.75" customHeight="1">
      <c r="A689" s="6"/>
      <c r="B689" s="194"/>
      <c r="C689" s="195"/>
      <c r="D689" s="4"/>
      <c r="E689" s="39"/>
      <c r="F689" s="196"/>
      <c r="G689" s="197"/>
      <c r="H689" s="197"/>
      <c r="I689" s="16"/>
      <c r="J689" s="16"/>
      <c r="K689" s="16"/>
      <c r="L689" s="16"/>
      <c r="M689" s="16"/>
      <c r="N689" s="3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 ht="12.75" customHeight="1">
      <c r="A690" s="6"/>
      <c r="B690" s="194"/>
      <c r="C690" s="195"/>
      <c r="D690" s="4"/>
      <c r="E690" s="39"/>
      <c r="F690" s="196"/>
      <c r="G690" s="197"/>
      <c r="H690" s="197"/>
      <c r="I690" s="16"/>
      <c r="J690" s="16"/>
      <c r="K690" s="16"/>
      <c r="L690" s="16"/>
      <c r="M690" s="16"/>
      <c r="N690" s="3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 ht="12.75" customHeight="1">
      <c r="A691" s="6"/>
      <c r="B691" s="194"/>
      <c r="C691" s="195"/>
      <c r="D691" s="4"/>
      <c r="E691" s="39"/>
      <c r="F691" s="196"/>
      <c r="G691" s="197"/>
      <c r="H691" s="197"/>
      <c r="I691" s="16"/>
      <c r="J691" s="16"/>
      <c r="K691" s="16"/>
      <c r="L691" s="16"/>
      <c r="M691" s="16"/>
      <c r="N691" s="3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 ht="12.75" customHeight="1">
      <c r="A692" s="6"/>
      <c r="B692" s="194"/>
      <c r="C692" s="195"/>
      <c r="D692" s="4"/>
      <c r="E692" s="39"/>
      <c r="F692" s="196"/>
      <c r="G692" s="197"/>
      <c r="H692" s="197"/>
      <c r="I692" s="16"/>
      <c r="J692" s="16"/>
      <c r="K692" s="16"/>
      <c r="L692" s="16"/>
      <c r="M692" s="16"/>
      <c r="N692" s="3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 ht="12.75" customHeight="1">
      <c r="A693" s="6"/>
      <c r="B693" s="194"/>
      <c r="C693" s="195"/>
      <c r="D693" s="4"/>
      <c r="E693" s="39"/>
      <c r="F693" s="196"/>
      <c r="G693" s="197"/>
      <c r="H693" s="197"/>
      <c r="I693" s="16"/>
      <c r="J693" s="16"/>
      <c r="K693" s="16"/>
      <c r="L693" s="16"/>
      <c r="M693" s="16"/>
      <c r="N693" s="3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 ht="12.75" customHeight="1">
      <c r="A694" s="6"/>
      <c r="B694" s="194"/>
      <c r="C694" s="195"/>
      <c r="D694" s="4"/>
      <c r="E694" s="39"/>
      <c r="F694" s="196"/>
      <c r="G694" s="197"/>
      <c r="H694" s="197"/>
      <c r="I694" s="16"/>
      <c r="J694" s="16"/>
      <c r="K694" s="16"/>
      <c r="L694" s="16"/>
      <c r="M694" s="16"/>
      <c r="N694" s="3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 ht="12.75" customHeight="1">
      <c r="A695" s="6"/>
      <c r="B695" s="194"/>
      <c r="C695" s="195"/>
      <c r="D695" s="4"/>
      <c r="E695" s="39"/>
      <c r="F695" s="196"/>
      <c r="G695" s="197"/>
      <c r="H695" s="197"/>
      <c r="I695" s="16"/>
      <c r="J695" s="16"/>
      <c r="K695" s="16"/>
      <c r="L695" s="16"/>
      <c r="M695" s="16"/>
      <c r="N695" s="3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 ht="12.75" customHeight="1">
      <c r="A696" s="6"/>
      <c r="B696" s="194"/>
      <c r="C696" s="195"/>
      <c r="D696" s="4"/>
      <c r="E696" s="39"/>
      <c r="F696" s="196"/>
      <c r="G696" s="197"/>
      <c r="H696" s="197"/>
      <c r="I696" s="16"/>
      <c r="J696" s="16"/>
      <c r="K696" s="16"/>
      <c r="L696" s="16"/>
      <c r="M696" s="16"/>
      <c r="N696" s="3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 ht="12.75" customHeight="1">
      <c r="A697" s="6"/>
      <c r="B697" s="194"/>
      <c r="C697" s="195"/>
      <c r="D697" s="4"/>
      <c r="E697" s="39"/>
      <c r="F697" s="196"/>
      <c r="G697" s="197"/>
      <c r="H697" s="197"/>
      <c r="I697" s="16"/>
      <c r="J697" s="16"/>
      <c r="K697" s="16"/>
      <c r="L697" s="16"/>
      <c r="M697" s="16"/>
      <c r="N697" s="3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 ht="12.75" customHeight="1">
      <c r="A698" s="6"/>
      <c r="B698" s="194"/>
      <c r="C698" s="195"/>
      <c r="D698" s="4"/>
      <c r="E698" s="39"/>
      <c r="F698" s="196"/>
      <c r="G698" s="197"/>
      <c r="H698" s="197"/>
      <c r="I698" s="16"/>
      <c r="J698" s="16"/>
      <c r="K698" s="16"/>
      <c r="L698" s="16"/>
      <c r="M698" s="16"/>
      <c r="N698" s="3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 ht="12.75" customHeight="1">
      <c r="A699" s="6"/>
      <c r="B699" s="194"/>
      <c r="C699" s="195"/>
      <c r="D699" s="4"/>
      <c r="E699" s="39"/>
      <c r="F699" s="196"/>
      <c r="G699" s="197"/>
      <c r="H699" s="197"/>
      <c r="I699" s="16"/>
      <c r="J699" s="16"/>
      <c r="K699" s="16"/>
      <c r="L699" s="16"/>
      <c r="M699" s="16"/>
      <c r="N699" s="3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 ht="12.75" customHeight="1">
      <c r="A700" s="6"/>
      <c r="B700" s="194"/>
      <c r="C700" s="195"/>
      <c r="D700" s="4"/>
      <c r="E700" s="39"/>
      <c r="F700" s="196"/>
      <c r="G700" s="197"/>
      <c r="H700" s="197"/>
      <c r="I700" s="16"/>
      <c r="J700" s="16"/>
      <c r="K700" s="16"/>
      <c r="L700" s="16"/>
      <c r="M700" s="16"/>
      <c r="N700" s="3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 ht="12.75" customHeight="1">
      <c r="A701" s="6"/>
      <c r="B701" s="194"/>
      <c r="C701" s="195"/>
      <c r="D701" s="4"/>
      <c r="E701" s="39"/>
      <c r="F701" s="196"/>
      <c r="G701" s="197"/>
      <c r="H701" s="197"/>
      <c r="I701" s="16"/>
      <c r="J701" s="16"/>
      <c r="K701" s="16"/>
      <c r="L701" s="16"/>
      <c r="M701" s="16"/>
      <c r="N701" s="3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 ht="12.75" customHeight="1">
      <c r="A702" s="6"/>
      <c r="B702" s="194"/>
      <c r="C702" s="195"/>
      <c r="D702" s="4"/>
      <c r="E702" s="39"/>
      <c r="F702" s="196"/>
      <c r="G702" s="197"/>
      <c r="H702" s="197"/>
      <c r="I702" s="16"/>
      <c r="J702" s="16"/>
      <c r="K702" s="16"/>
      <c r="L702" s="16"/>
      <c r="M702" s="16"/>
      <c r="N702" s="3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 ht="12.75" customHeight="1">
      <c r="A703" s="6"/>
      <c r="B703" s="194"/>
      <c r="C703" s="195"/>
      <c r="D703" s="4"/>
      <c r="E703" s="39"/>
      <c r="F703" s="196"/>
      <c r="G703" s="197"/>
      <c r="H703" s="197"/>
      <c r="I703" s="16"/>
      <c r="J703" s="16"/>
      <c r="K703" s="16"/>
      <c r="L703" s="16"/>
      <c r="M703" s="16"/>
      <c r="N703" s="3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 ht="12.75" customHeight="1">
      <c r="A704" s="6"/>
      <c r="B704" s="194"/>
      <c r="C704" s="195"/>
      <c r="D704" s="4"/>
      <c r="E704" s="39"/>
      <c r="F704" s="196"/>
      <c r="G704" s="197"/>
      <c r="H704" s="197"/>
      <c r="I704" s="16"/>
      <c r="J704" s="16"/>
      <c r="K704" s="16"/>
      <c r="L704" s="16"/>
      <c r="M704" s="16"/>
      <c r="N704" s="3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 ht="12.75" customHeight="1">
      <c r="A705" s="6"/>
      <c r="B705" s="194"/>
      <c r="C705" s="195"/>
      <c r="D705" s="4"/>
      <c r="E705" s="39"/>
      <c r="F705" s="196"/>
      <c r="G705" s="197"/>
      <c r="H705" s="197"/>
      <c r="I705" s="16"/>
      <c r="J705" s="16"/>
      <c r="K705" s="16"/>
      <c r="L705" s="16"/>
      <c r="M705" s="16"/>
      <c r="N705" s="3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 ht="12.75" customHeight="1">
      <c r="A706" s="6"/>
      <c r="B706" s="194"/>
      <c r="C706" s="195"/>
      <c r="D706" s="4"/>
      <c r="E706" s="39"/>
      <c r="F706" s="196"/>
      <c r="G706" s="197"/>
      <c r="H706" s="197"/>
      <c r="I706" s="16"/>
      <c r="J706" s="16"/>
      <c r="K706" s="16"/>
      <c r="L706" s="16"/>
      <c r="M706" s="16"/>
      <c r="N706" s="3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 ht="12.75" customHeight="1">
      <c r="A707" s="6"/>
      <c r="B707" s="194"/>
      <c r="C707" s="195"/>
      <c r="D707" s="4"/>
      <c r="E707" s="39"/>
      <c r="F707" s="196"/>
      <c r="G707" s="197"/>
      <c r="H707" s="197"/>
      <c r="I707" s="16"/>
      <c r="J707" s="16"/>
      <c r="K707" s="16"/>
      <c r="L707" s="16"/>
      <c r="M707" s="16"/>
      <c r="N707" s="3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 ht="12.75" customHeight="1">
      <c r="A708" s="6"/>
      <c r="B708" s="194"/>
      <c r="C708" s="195"/>
      <c r="D708" s="4"/>
      <c r="E708" s="39"/>
      <c r="F708" s="196"/>
      <c r="G708" s="197"/>
      <c r="H708" s="197"/>
      <c r="I708" s="16"/>
      <c r="J708" s="16"/>
      <c r="K708" s="16"/>
      <c r="L708" s="16"/>
      <c r="M708" s="16"/>
      <c r="N708" s="3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 ht="12.75" customHeight="1">
      <c r="A709" s="6"/>
      <c r="B709" s="194"/>
      <c r="C709" s="195"/>
      <c r="D709" s="4"/>
      <c r="E709" s="39"/>
      <c r="F709" s="196"/>
      <c r="G709" s="197"/>
      <c r="H709" s="197"/>
      <c r="I709" s="16"/>
      <c r="J709" s="16"/>
      <c r="K709" s="16"/>
      <c r="L709" s="16"/>
      <c r="M709" s="16"/>
      <c r="N709" s="3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 ht="12.75" customHeight="1">
      <c r="A710" s="6"/>
      <c r="B710" s="194"/>
      <c r="C710" s="195"/>
      <c r="D710" s="4"/>
      <c r="E710" s="39"/>
      <c r="F710" s="196"/>
      <c r="G710" s="197"/>
      <c r="H710" s="197"/>
      <c r="I710" s="16"/>
      <c r="J710" s="16"/>
      <c r="K710" s="16"/>
      <c r="L710" s="16"/>
      <c r="M710" s="16"/>
      <c r="N710" s="3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 ht="12.75" customHeight="1">
      <c r="A711" s="6"/>
      <c r="B711" s="194"/>
      <c r="C711" s="195"/>
      <c r="D711" s="4"/>
      <c r="E711" s="39"/>
      <c r="F711" s="196"/>
      <c r="G711" s="197"/>
      <c r="H711" s="197"/>
      <c r="I711" s="16"/>
      <c r="J711" s="16"/>
      <c r="K711" s="16"/>
      <c r="L711" s="16"/>
      <c r="M711" s="16"/>
      <c r="N711" s="3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 ht="12.75" customHeight="1">
      <c r="A712" s="6"/>
      <c r="B712" s="194"/>
      <c r="C712" s="195"/>
      <c r="D712" s="4"/>
      <c r="E712" s="39"/>
      <c r="F712" s="196"/>
      <c r="G712" s="197"/>
      <c r="H712" s="197"/>
      <c r="I712" s="16"/>
      <c r="J712" s="16"/>
      <c r="K712" s="16"/>
      <c r="L712" s="16"/>
      <c r="M712" s="16"/>
      <c r="N712" s="3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 ht="12.75" customHeight="1">
      <c r="A713" s="6"/>
      <c r="B713" s="194"/>
      <c r="C713" s="195"/>
      <c r="D713" s="4"/>
      <c r="E713" s="39"/>
      <c r="F713" s="196"/>
      <c r="G713" s="197"/>
      <c r="H713" s="197"/>
      <c r="I713" s="16"/>
      <c r="J713" s="16"/>
      <c r="K713" s="16"/>
      <c r="L713" s="16"/>
      <c r="M713" s="16"/>
      <c r="N713" s="3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 ht="12.75" customHeight="1">
      <c r="A714" s="6"/>
      <c r="B714" s="194"/>
      <c r="C714" s="195"/>
      <c r="D714" s="4"/>
      <c r="E714" s="39"/>
      <c r="F714" s="196"/>
      <c r="G714" s="197"/>
      <c r="H714" s="197"/>
      <c r="I714" s="16"/>
      <c r="J714" s="16"/>
      <c r="K714" s="16"/>
      <c r="L714" s="16"/>
      <c r="M714" s="16"/>
      <c r="N714" s="3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 ht="12.75" customHeight="1">
      <c r="A715" s="6"/>
      <c r="B715" s="194"/>
      <c r="C715" s="195"/>
      <c r="D715" s="4"/>
      <c r="E715" s="39"/>
      <c r="F715" s="196"/>
      <c r="G715" s="197"/>
      <c r="H715" s="197"/>
      <c r="I715" s="16"/>
      <c r="J715" s="16"/>
      <c r="K715" s="16"/>
      <c r="L715" s="16"/>
      <c r="M715" s="16"/>
      <c r="N715" s="3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 ht="12.75" customHeight="1">
      <c r="A716" s="6"/>
      <c r="B716" s="194"/>
      <c r="C716" s="195"/>
      <c r="D716" s="4"/>
      <c r="E716" s="39"/>
      <c r="F716" s="196"/>
      <c r="G716" s="197"/>
      <c r="H716" s="197"/>
      <c r="I716" s="16"/>
      <c r="J716" s="16"/>
      <c r="K716" s="16"/>
      <c r="L716" s="16"/>
      <c r="M716" s="16"/>
      <c r="N716" s="3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 ht="12.75" customHeight="1">
      <c r="A717" s="6"/>
      <c r="B717" s="194"/>
      <c r="C717" s="195"/>
      <c r="D717" s="4"/>
      <c r="E717" s="39"/>
      <c r="F717" s="196"/>
      <c r="G717" s="197"/>
      <c r="H717" s="197"/>
      <c r="I717" s="16"/>
      <c r="J717" s="16"/>
      <c r="K717" s="16"/>
      <c r="L717" s="16"/>
      <c r="M717" s="16"/>
      <c r="N717" s="3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 ht="12.75" customHeight="1">
      <c r="A718" s="6"/>
      <c r="B718" s="194"/>
      <c r="C718" s="195"/>
      <c r="D718" s="4"/>
      <c r="E718" s="39"/>
      <c r="F718" s="196"/>
      <c r="G718" s="197"/>
      <c r="H718" s="197"/>
      <c r="I718" s="16"/>
      <c r="J718" s="16"/>
      <c r="K718" s="16"/>
      <c r="L718" s="16"/>
      <c r="M718" s="16"/>
      <c r="N718" s="3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 ht="12.75" customHeight="1">
      <c r="A719" s="6"/>
      <c r="B719" s="194"/>
      <c r="C719" s="195"/>
      <c r="D719" s="4"/>
      <c r="E719" s="39"/>
      <c r="F719" s="196"/>
      <c r="G719" s="197"/>
      <c r="H719" s="197"/>
      <c r="I719" s="16"/>
      <c r="J719" s="16"/>
      <c r="K719" s="16"/>
      <c r="L719" s="16"/>
      <c r="M719" s="16"/>
      <c r="N719" s="3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 ht="12.75" customHeight="1">
      <c r="A720" s="6"/>
      <c r="B720" s="194"/>
      <c r="C720" s="195"/>
      <c r="D720" s="4"/>
      <c r="E720" s="39"/>
      <c r="F720" s="196"/>
      <c r="G720" s="197"/>
      <c r="H720" s="197"/>
      <c r="I720" s="16"/>
      <c r="J720" s="16"/>
      <c r="K720" s="16"/>
      <c r="L720" s="16"/>
      <c r="M720" s="16"/>
      <c r="N720" s="3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 ht="12.75" customHeight="1">
      <c r="A721" s="6"/>
      <c r="B721" s="194"/>
      <c r="C721" s="195"/>
      <c r="D721" s="4"/>
      <c r="E721" s="39"/>
      <c r="F721" s="196"/>
      <c r="G721" s="197"/>
      <c r="H721" s="197"/>
      <c r="I721" s="16"/>
      <c r="J721" s="16"/>
      <c r="K721" s="16"/>
      <c r="L721" s="16"/>
      <c r="M721" s="16"/>
      <c r="N721" s="3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 ht="12.75" customHeight="1">
      <c r="A722" s="6"/>
      <c r="B722" s="194"/>
      <c r="C722" s="195"/>
      <c r="D722" s="4"/>
      <c r="E722" s="39"/>
      <c r="F722" s="196"/>
      <c r="G722" s="197"/>
      <c r="H722" s="197"/>
      <c r="I722" s="16"/>
      <c r="J722" s="16"/>
      <c r="K722" s="16"/>
      <c r="L722" s="16"/>
      <c r="M722" s="16"/>
      <c r="N722" s="3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 ht="12.75" customHeight="1">
      <c r="A723" s="6"/>
      <c r="B723" s="194"/>
      <c r="C723" s="195"/>
      <c r="D723" s="4"/>
      <c r="E723" s="39"/>
      <c r="F723" s="196"/>
      <c r="G723" s="197"/>
      <c r="H723" s="197"/>
      <c r="I723" s="16"/>
      <c r="J723" s="16"/>
      <c r="K723" s="16"/>
      <c r="L723" s="16"/>
      <c r="M723" s="16"/>
      <c r="N723" s="3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 ht="12.75" customHeight="1">
      <c r="A724" s="6"/>
      <c r="B724" s="194"/>
      <c r="C724" s="195"/>
      <c r="D724" s="4"/>
      <c r="E724" s="39"/>
      <c r="F724" s="196"/>
      <c r="G724" s="197"/>
      <c r="H724" s="197"/>
      <c r="I724" s="16"/>
      <c r="J724" s="16"/>
      <c r="K724" s="16"/>
      <c r="L724" s="16"/>
      <c r="M724" s="16"/>
      <c r="N724" s="3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 ht="12.75" customHeight="1">
      <c r="A725" s="6"/>
      <c r="B725" s="194"/>
      <c r="C725" s="195"/>
      <c r="D725" s="4"/>
      <c r="E725" s="39"/>
      <c r="F725" s="196"/>
      <c r="G725" s="197"/>
      <c r="H725" s="197"/>
      <c r="I725" s="16"/>
      <c r="J725" s="16"/>
      <c r="K725" s="16"/>
      <c r="L725" s="16"/>
      <c r="M725" s="16"/>
      <c r="N725" s="3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 ht="12.75" customHeight="1">
      <c r="A726" s="6"/>
      <c r="B726" s="194"/>
      <c r="C726" s="195"/>
      <c r="D726" s="4"/>
      <c r="E726" s="39"/>
      <c r="F726" s="196"/>
      <c r="G726" s="197"/>
      <c r="H726" s="197"/>
      <c r="I726" s="16"/>
      <c r="J726" s="16"/>
      <c r="K726" s="16"/>
      <c r="L726" s="16"/>
      <c r="M726" s="16"/>
      <c r="N726" s="3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 ht="12.75" customHeight="1">
      <c r="A727" s="6"/>
      <c r="B727" s="194"/>
      <c r="C727" s="195"/>
      <c r="D727" s="4"/>
      <c r="E727" s="39"/>
      <c r="F727" s="196"/>
      <c r="G727" s="197"/>
      <c r="H727" s="197"/>
      <c r="I727" s="16"/>
      <c r="J727" s="16"/>
      <c r="K727" s="16"/>
      <c r="L727" s="16"/>
      <c r="M727" s="16"/>
      <c r="N727" s="3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 ht="12.75" customHeight="1">
      <c r="A728" s="6"/>
      <c r="B728" s="194"/>
      <c r="C728" s="195"/>
      <c r="D728" s="4"/>
      <c r="E728" s="39"/>
      <c r="F728" s="196"/>
      <c r="G728" s="197"/>
      <c r="H728" s="197"/>
      <c r="I728" s="16"/>
      <c r="J728" s="16"/>
      <c r="K728" s="16"/>
      <c r="L728" s="16"/>
      <c r="M728" s="16"/>
      <c r="N728" s="3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 ht="12.75" customHeight="1">
      <c r="A729" s="6"/>
      <c r="B729" s="194"/>
      <c r="C729" s="195"/>
      <c r="D729" s="4"/>
      <c r="E729" s="39"/>
      <c r="F729" s="196"/>
      <c r="G729" s="197"/>
      <c r="H729" s="197"/>
      <c r="I729" s="16"/>
      <c r="J729" s="16"/>
      <c r="K729" s="16"/>
      <c r="L729" s="16"/>
      <c r="M729" s="16"/>
      <c r="N729" s="3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 ht="12.75" customHeight="1">
      <c r="A730" s="6"/>
      <c r="B730" s="194"/>
      <c r="C730" s="195"/>
      <c r="D730" s="4"/>
      <c r="E730" s="39"/>
      <c r="F730" s="196"/>
      <c r="G730" s="197"/>
      <c r="H730" s="197"/>
      <c r="I730" s="16"/>
      <c r="J730" s="16"/>
      <c r="K730" s="16"/>
      <c r="L730" s="16"/>
      <c r="M730" s="16"/>
      <c r="N730" s="3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 ht="12.75" customHeight="1">
      <c r="A731" s="6"/>
      <c r="B731" s="194"/>
      <c r="C731" s="195"/>
      <c r="D731" s="4"/>
      <c r="E731" s="39"/>
      <c r="F731" s="196"/>
      <c r="G731" s="197"/>
      <c r="H731" s="197"/>
      <c r="I731" s="16"/>
      <c r="J731" s="16"/>
      <c r="K731" s="16"/>
      <c r="L731" s="16"/>
      <c r="M731" s="16"/>
      <c r="N731" s="3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 ht="12.75" customHeight="1">
      <c r="A732" s="6"/>
      <c r="B732" s="194"/>
      <c r="C732" s="195"/>
      <c r="D732" s="4"/>
      <c r="E732" s="39"/>
      <c r="F732" s="196"/>
      <c r="G732" s="197"/>
      <c r="H732" s="197"/>
      <c r="I732" s="16"/>
      <c r="J732" s="16"/>
      <c r="K732" s="16"/>
      <c r="L732" s="16"/>
      <c r="M732" s="16"/>
      <c r="N732" s="3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 ht="12.75" customHeight="1">
      <c r="A733" s="6"/>
      <c r="B733" s="194"/>
      <c r="C733" s="195"/>
      <c r="D733" s="4"/>
      <c r="E733" s="39"/>
      <c r="F733" s="196"/>
      <c r="G733" s="197"/>
      <c r="H733" s="197"/>
      <c r="I733" s="16"/>
      <c r="J733" s="16"/>
      <c r="K733" s="16"/>
      <c r="L733" s="16"/>
      <c r="M733" s="16"/>
      <c r="N733" s="3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 ht="12.75" customHeight="1">
      <c r="A734" s="6"/>
      <c r="B734" s="194"/>
      <c r="C734" s="195"/>
      <c r="D734" s="4"/>
      <c r="E734" s="39"/>
      <c r="F734" s="196"/>
      <c r="G734" s="197"/>
      <c r="H734" s="197"/>
      <c r="I734" s="16"/>
      <c r="J734" s="16"/>
      <c r="K734" s="16"/>
      <c r="L734" s="16"/>
      <c r="M734" s="16"/>
      <c r="N734" s="3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 ht="12.75" customHeight="1">
      <c r="A735" s="6"/>
      <c r="B735" s="194"/>
      <c r="C735" s="195"/>
      <c r="D735" s="4"/>
      <c r="E735" s="39"/>
      <c r="F735" s="196"/>
      <c r="G735" s="197"/>
      <c r="H735" s="197"/>
      <c r="I735" s="16"/>
      <c r="J735" s="16"/>
      <c r="K735" s="16"/>
      <c r="L735" s="16"/>
      <c r="M735" s="16"/>
      <c r="N735" s="3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 ht="12.75" customHeight="1">
      <c r="A736" s="6"/>
      <c r="B736" s="194"/>
      <c r="C736" s="195"/>
      <c r="D736" s="4"/>
      <c r="E736" s="39"/>
      <c r="F736" s="196"/>
      <c r="G736" s="197"/>
      <c r="H736" s="197"/>
      <c r="I736" s="16"/>
      <c r="J736" s="16"/>
      <c r="K736" s="16"/>
      <c r="L736" s="16"/>
      <c r="M736" s="16"/>
      <c r="N736" s="3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 ht="12.75" customHeight="1">
      <c r="A737" s="6"/>
      <c r="B737" s="194"/>
      <c r="C737" s="195"/>
      <c r="D737" s="4"/>
      <c r="E737" s="39"/>
      <c r="F737" s="196"/>
      <c r="G737" s="197"/>
      <c r="H737" s="197"/>
      <c r="I737" s="16"/>
      <c r="J737" s="16"/>
      <c r="K737" s="16"/>
      <c r="L737" s="16"/>
      <c r="M737" s="16"/>
      <c r="N737" s="3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 ht="12.75" customHeight="1">
      <c r="A738" s="6"/>
      <c r="B738" s="194"/>
      <c r="C738" s="195"/>
      <c r="D738" s="4"/>
      <c r="E738" s="39"/>
      <c r="F738" s="196"/>
      <c r="G738" s="197"/>
      <c r="H738" s="197"/>
      <c r="I738" s="16"/>
      <c r="J738" s="16"/>
      <c r="K738" s="16"/>
      <c r="L738" s="16"/>
      <c r="M738" s="16"/>
      <c r="N738" s="3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 ht="12.75" customHeight="1">
      <c r="A739" s="6"/>
      <c r="B739" s="194"/>
      <c r="C739" s="195"/>
      <c r="D739" s="4"/>
      <c r="E739" s="39"/>
      <c r="F739" s="196"/>
      <c r="G739" s="197"/>
      <c r="H739" s="197"/>
      <c r="I739" s="16"/>
      <c r="J739" s="16"/>
      <c r="K739" s="16"/>
      <c r="L739" s="16"/>
      <c r="M739" s="16"/>
      <c r="N739" s="3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 ht="12.75" customHeight="1">
      <c r="A740" s="6"/>
      <c r="B740" s="194"/>
      <c r="C740" s="195"/>
      <c r="D740" s="4"/>
      <c r="E740" s="39"/>
      <c r="F740" s="196"/>
      <c r="G740" s="197"/>
      <c r="H740" s="197"/>
      <c r="I740" s="16"/>
      <c r="J740" s="16"/>
      <c r="K740" s="16"/>
      <c r="L740" s="16"/>
      <c r="M740" s="16"/>
      <c r="N740" s="3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 ht="12.75" customHeight="1">
      <c r="A741" s="6"/>
      <c r="B741" s="194"/>
      <c r="C741" s="195"/>
      <c r="D741" s="4"/>
      <c r="E741" s="39"/>
      <c r="F741" s="196"/>
      <c r="G741" s="197"/>
      <c r="H741" s="197"/>
      <c r="I741" s="16"/>
      <c r="J741" s="16"/>
      <c r="K741" s="16"/>
      <c r="L741" s="16"/>
      <c r="M741" s="16"/>
      <c r="N741" s="3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 ht="12.75" customHeight="1">
      <c r="A742" s="6"/>
      <c r="B742" s="194"/>
      <c r="C742" s="195"/>
      <c r="D742" s="4"/>
      <c r="E742" s="39"/>
      <c r="F742" s="196"/>
      <c r="G742" s="197"/>
      <c r="H742" s="197"/>
      <c r="I742" s="16"/>
      <c r="J742" s="16"/>
      <c r="K742" s="16"/>
      <c r="L742" s="16"/>
      <c r="M742" s="16"/>
      <c r="N742" s="3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 ht="12.75" customHeight="1">
      <c r="A743" s="6"/>
      <c r="B743" s="194"/>
      <c r="C743" s="195"/>
      <c r="D743" s="4"/>
      <c r="E743" s="39"/>
      <c r="F743" s="196"/>
      <c r="G743" s="197"/>
      <c r="H743" s="197"/>
      <c r="I743" s="16"/>
      <c r="J743" s="16"/>
      <c r="K743" s="16"/>
      <c r="L743" s="16"/>
      <c r="M743" s="16"/>
      <c r="N743" s="3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 ht="12.75" customHeight="1">
      <c r="A744" s="6"/>
      <c r="B744" s="194"/>
      <c r="C744" s="195"/>
      <c r="D744" s="4"/>
      <c r="E744" s="39"/>
      <c r="F744" s="196"/>
      <c r="G744" s="197"/>
      <c r="H744" s="197"/>
      <c r="I744" s="16"/>
      <c r="J744" s="16"/>
      <c r="K744" s="16"/>
      <c r="L744" s="16"/>
      <c r="M744" s="16"/>
      <c r="N744" s="3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 ht="12.75" customHeight="1">
      <c r="A745" s="6"/>
      <c r="B745" s="194"/>
      <c r="C745" s="195"/>
      <c r="D745" s="4"/>
      <c r="E745" s="39"/>
      <c r="F745" s="196"/>
      <c r="G745" s="197"/>
      <c r="H745" s="197"/>
      <c r="I745" s="16"/>
      <c r="J745" s="16"/>
      <c r="K745" s="16"/>
      <c r="L745" s="16"/>
      <c r="M745" s="16"/>
      <c r="N745" s="3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 ht="12.75" customHeight="1">
      <c r="A746" s="6"/>
      <c r="B746" s="194"/>
      <c r="C746" s="195"/>
      <c r="D746" s="4"/>
      <c r="E746" s="39"/>
      <c r="F746" s="196"/>
      <c r="G746" s="197"/>
      <c r="H746" s="197"/>
      <c r="I746" s="16"/>
      <c r="J746" s="16"/>
      <c r="K746" s="16"/>
      <c r="L746" s="16"/>
      <c r="M746" s="16"/>
      <c r="N746" s="3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 ht="12.75" customHeight="1">
      <c r="A747" s="6"/>
      <c r="B747" s="194"/>
      <c r="C747" s="195"/>
      <c r="D747" s="4"/>
      <c r="E747" s="39"/>
      <c r="F747" s="196"/>
      <c r="G747" s="197"/>
      <c r="H747" s="197"/>
      <c r="I747" s="16"/>
      <c r="J747" s="16"/>
      <c r="K747" s="16"/>
      <c r="L747" s="16"/>
      <c r="M747" s="16"/>
      <c r="N747" s="3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 ht="12.75" customHeight="1">
      <c r="A748" s="6"/>
      <c r="B748" s="194"/>
      <c r="C748" s="195"/>
      <c r="D748" s="4"/>
      <c r="E748" s="39"/>
      <c r="F748" s="196"/>
      <c r="G748" s="197"/>
      <c r="H748" s="197"/>
      <c r="I748" s="16"/>
      <c r="J748" s="16"/>
      <c r="K748" s="16"/>
      <c r="L748" s="16"/>
      <c r="M748" s="16"/>
      <c r="N748" s="3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 ht="12.75" customHeight="1">
      <c r="A749" s="6"/>
      <c r="B749" s="194"/>
      <c r="C749" s="195"/>
      <c r="D749" s="4"/>
      <c r="E749" s="39"/>
      <c r="F749" s="196"/>
      <c r="G749" s="197"/>
      <c r="H749" s="197"/>
      <c r="I749" s="16"/>
      <c r="J749" s="16"/>
      <c r="K749" s="16"/>
      <c r="L749" s="16"/>
      <c r="M749" s="16"/>
      <c r="N749" s="3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</sheetData>
  <mergeCells count="89">
    <mergeCell ref="A156:M156"/>
    <mergeCell ref="D157:I157"/>
    <mergeCell ref="A176:M176"/>
    <mergeCell ref="D177:I177"/>
    <mergeCell ref="A184:M184"/>
    <mergeCell ref="D185:I185"/>
    <mergeCell ref="A193:M193"/>
    <mergeCell ref="D194:I194"/>
    <mergeCell ref="D203:I203"/>
    <mergeCell ref="A211:M211"/>
    <mergeCell ref="D212:I212"/>
    <mergeCell ref="D221:I221"/>
    <mergeCell ref="A229:M229"/>
    <mergeCell ref="D230:I230"/>
    <mergeCell ref="A238:M238"/>
    <mergeCell ref="D239:I239"/>
    <mergeCell ref="A248:M248"/>
    <mergeCell ref="D249:I249"/>
    <mergeCell ref="A256:M256"/>
    <mergeCell ref="D257:I257"/>
    <mergeCell ref="D267:I267"/>
    <mergeCell ref="A270:M270"/>
    <mergeCell ref="A309:M309"/>
    <mergeCell ref="D310:I310"/>
    <mergeCell ref="A326:M326"/>
    <mergeCell ref="D327:I327"/>
    <mergeCell ref="A338:M338"/>
    <mergeCell ref="D339:I339"/>
    <mergeCell ref="A353:M353"/>
    <mergeCell ref="D354:I354"/>
    <mergeCell ref="A363:M363"/>
    <mergeCell ref="D364:I364"/>
    <mergeCell ref="A368:M368"/>
    <mergeCell ref="D369:I369"/>
    <mergeCell ref="A376:M376"/>
    <mergeCell ref="D377:I377"/>
    <mergeCell ref="A387:M387"/>
    <mergeCell ref="D388:I388"/>
    <mergeCell ref="A404:M404"/>
    <mergeCell ref="D405:I405"/>
    <mergeCell ref="A413:M413"/>
    <mergeCell ref="D414:I414"/>
    <mergeCell ref="A1:M1"/>
    <mergeCell ref="B3:C9"/>
    <mergeCell ref="D3:H3"/>
    <mergeCell ref="D4:G4"/>
    <mergeCell ref="D5:G5"/>
    <mergeCell ref="D6:G6"/>
    <mergeCell ref="D7:G7"/>
    <mergeCell ref="D8:G8"/>
    <mergeCell ref="D9:G9"/>
    <mergeCell ref="A11:A12"/>
    <mergeCell ref="B11:B12"/>
    <mergeCell ref="C11:C12"/>
    <mergeCell ref="D11:D12"/>
    <mergeCell ref="E11:E12"/>
    <mergeCell ref="F11:F12"/>
    <mergeCell ref="G11:I11"/>
    <mergeCell ref="J11:L11"/>
    <mergeCell ref="M11:M12"/>
    <mergeCell ref="A13:M13"/>
    <mergeCell ref="D14:I14"/>
    <mergeCell ref="A17:M17"/>
    <mergeCell ref="D19:I19"/>
    <mergeCell ref="A27:M27"/>
    <mergeCell ref="D28:I28"/>
    <mergeCell ref="A53:M53"/>
    <mergeCell ref="D55:I55"/>
    <mergeCell ref="A65:M65"/>
    <mergeCell ref="D66:I66"/>
    <mergeCell ref="A87:M87"/>
    <mergeCell ref="D88:I88"/>
    <mergeCell ref="A96:M96"/>
    <mergeCell ref="D97:I97"/>
    <mergeCell ref="A105:M105"/>
    <mergeCell ref="D106:I106"/>
    <mergeCell ref="A114:M114"/>
    <mergeCell ref="D115:I115"/>
    <mergeCell ref="A123:M123"/>
    <mergeCell ref="D124:I124"/>
    <mergeCell ref="A132:M132"/>
    <mergeCell ref="D133:I133"/>
    <mergeCell ref="A142:M142"/>
    <mergeCell ref="D143:I143"/>
    <mergeCell ref="A423:M423"/>
    <mergeCell ref="D424:I424"/>
    <mergeCell ref="D431:I431"/>
    <mergeCell ref="A436:M436"/>
    <mergeCell ref="A437:M437"/>
  </mergeCells>
  <printOptions/>
  <pageMargins bottom="0.75" footer="0.0" header="0.0" left="0.25" right="0.25" top="0.75"/>
  <pageSetup fitToHeight="0" paperSize="9" orientation="portrait"/>
  <headerFooter>
    <oddFooter>&amp;L &amp;CPágina &amp;R&amp;P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5BAA"/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3" max="3" width="57.0"/>
    <col customWidth="1" min="4" max="4" width="8.38"/>
    <col customWidth="1" min="5" max="5" width="11.38"/>
    <col customWidth="1" min="6" max="6" width="11.5"/>
    <col customWidth="1" min="7" max="7" width="13.25"/>
    <col customWidth="1" min="8" max="8" width="10.75"/>
    <col customWidth="1" min="9" max="9" width="11.38"/>
    <col customWidth="1" min="10" max="10" width="11.63"/>
    <col customWidth="1" min="11" max="11" width="11.5"/>
  </cols>
  <sheetData>
    <row r="1">
      <c r="A1" s="198"/>
    </row>
    <row r="2">
      <c r="A2" s="6"/>
      <c r="B2" s="7"/>
      <c r="C2" s="6"/>
      <c r="D2" s="7"/>
      <c r="E2" s="199"/>
      <c r="F2" s="8"/>
      <c r="G2" s="7"/>
      <c r="H2" s="200"/>
      <c r="I2" s="200"/>
      <c r="J2" s="200"/>
      <c r="K2" s="200"/>
    </row>
    <row r="3">
      <c r="A3" s="39"/>
      <c r="B3" s="201"/>
      <c r="C3" s="201"/>
      <c r="D3" s="13" t="s">
        <v>0</v>
      </c>
      <c r="E3" s="14"/>
      <c r="F3" s="14"/>
      <c r="G3" s="14"/>
      <c r="H3" s="15"/>
      <c r="I3" s="202"/>
      <c r="J3" s="203"/>
      <c r="K3" s="203"/>
    </row>
    <row r="4">
      <c r="A4" s="39"/>
      <c r="B4" s="201"/>
      <c r="C4" s="201"/>
      <c r="D4" s="19" t="s">
        <v>1</v>
      </c>
      <c r="E4" s="14"/>
      <c r="F4" s="14"/>
      <c r="G4" s="15"/>
      <c r="H4" s="20"/>
      <c r="I4" s="202"/>
      <c r="J4" s="203"/>
      <c r="K4" s="203"/>
    </row>
    <row r="5">
      <c r="A5" s="39"/>
      <c r="B5" s="201"/>
      <c r="C5" s="201"/>
      <c r="D5" s="13" t="s">
        <v>3</v>
      </c>
      <c r="E5" s="14"/>
      <c r="F5" s="14"/>
      <c r="G5" s="15"/>
      <c r="H5" s="23"/>
      <c r="I5" s="202"/>
      <c r="J5" s="203"/>
      <c r="K5" s="203"/>
    </row>
    <row r="6">
      <c r="A6" s="39"/>
      <c r="B6" s="201"/>
      <c r="C6" s="201"/>
      <c r="D6" s="19" t="s">
        <v>5</v>
      </c>
      <c r="E6" s="14"/>
      <c r="F6" s="14"/>
      <c r="G6" s="15"/>
      <c r="H6" s="20"/>
      <c r="I6" s="204"/>
      <c r="J6" s="203"/>
      <c r="K6" s="203"/>
    </row>
    <row r="7">
      <c r="A7" s="39"/>
      <c r="B7" s="201"/>
      <c r="C7" s="201"/>
      <c r="D7" s="19" t="s">
        <v>6</v>
      </c>
      <c r="E7" s="14"/>
      <c r="F7" s="14"/>
      <c r="G7" s="15"/>
      <c r="H7" s="20"/>
      <c r="I7" s="202"/>
      <c r="J7" s="203"/>
      <c r="K7" s="203"/>
    </row>
    <row r="8">
      <c r="A8" s="39"/>
      <c r="B8" s="201"/>
      <c r="C8" s="201"/>
      <c r="D8" s="19" t="s">
        <v>8</v>
      </c>
      <c r="E8" s="14"/>
      <c r="F8" s="14"/>
      <c r="G8" s="15"/>
      <c r="H8" s="20"/>
      <c r="I8" s="203"/>
      <c r="J8" s="203"/>
      <c r="K8" s="203"/>
    </row>
    <row r="9">
      <c r="A9" s="39"/>
      <c r="B9" s="201"/>
      <c r="C9" s="201"/>
      <c r="D9" s="27" t="s">
        <v>10</v>
      </c>
      <c r="E9" s="14"/>
      <c r="F9" s="14"/>
      <c r="G9" s="15"/>
      <c r="H9" s="20"/>
      <c r="I9" s="202"/>
      <c r="J9" s="203"/>
      <c r="K9" s="203"/>
    </row>
    <row r="10">
      <c r="A10" s="28"/>
      <c r="B10" s="28"/>
      <c r="C10" s="28"/>
      <c r="D10" s="28"/>
      <c r="E10" s="205"/>
      <c r="F10" s="29"/>
      <c r="G10" s="28"/>
      <c r="H10" s="206"/>
      <c r="I10" s="206"/>
      <c r="J10" s="206"/>
      <c r="K10" s="206"/>
    </row>
    <row r="11">
      <c r="A11" s="207"/>
      <c r="B11" s="207"/>
    </row>
    <row r="12">
      <c r="A12" s="206"/>
      <c r="B12" s="206"/>
      <c r="C12" s="206"/>
      <c r="D12" s="206"/>
      <c r="E12" s="208"/>
      <c r="F12" s="206"/>
      <c r="G12" s="206"/>
      <c r="H12" s="206"/>
      <c r="I12" s="206"/>
      <c r="J12" s="206"/>
      <c r="K12" s="206"/>
    </row>
    <row r="13">
      <c r="A13" s="209" t="s">
        <v>71</v>
      </c>
      <c r="B13" s="210" t="s">
        <v>72</v>
      </c>
      <c r="C13" s="34"/>
      <c r="D13" s="209" t="s">
        <v>15</v>
      </c>
      <c r="E13" s="211" t="s">
        <v>798</v>
      </c>
      <c r="F13" s="34"/>
      <c r="G13" s="34"/>
      <c r="H13" s="34"/>
      <c r="I13" s="34"/>
      <c r="J13" s="34"/>
      <c r="K13" s="35"/>
    </row>
    <row r="14">
      <c r="A14" s="212" t="s">
        <v>12</v>
      </c>
      <c r="B14" s="212" t="s">
        <v>799</v>
      </c>
      <c r="C14" s="213"/>
      <c r="D14" s="213"/>
      <c r="E14" s="214"/>
      <c r="F14" s="215" t="s">
        <v>800</v>
      </c>
      <c r="G14" s="34"/>
      <c r="H14" s="35"/>
      <c r="I14" s="215" t="s">
        <v>801</v>
      </c>
      <c r="J14" s="34"/>
      <c r="K14" s="35"/>
    </row>
    <row r="15">
      <c r="A15" s="216" t="s">
        <v>802</v>
      </c>
      <c r="B15" s="216" t="s">
        <v>13</v>
      </c>
      <c r="C15" s="217" t="s">
        <v>11</v>
      </c>
      <c r="D15" s="217" t="s">
        <v>803</v>
      </c>
      <c r="E15" s="218" t="s">
        <v>804</v>
      </c>
      <c r="F15" s="217" t="s">
        <v>805</v>
      </c>
      <c r="G15" s="217" t="s">
        <v>21</v>
      </c>
      <c r="H15" s="217" t="s">
        <v>806</v>
      </c>
      <c r="I15" s="217" t="s">
        <v>805</v>
      </c>
      <c r="J15" s="217" t="s">
        <v>21</v>
      </c>
      <c r="K15" s="217" t="s">
        <v>806</v>
      </c>
    </row>
    <row r="16">
      <c r="A16" s="219" t="s">
        <v>807</v>
      </c>
      <c r="B16" s="220">
        <v>96973.0</v>
      </c>
      <c r="C16" s="83" t="s">
        <v>808</v>
      </c>
      <c r="D16" s="221" t="s">
        <v>51</v>
      </c>
      <c r="E16" s="222">
        <v>16.0</v>
      </c>
      <c r="F16" s="223">
        <v>49.55</v>
      </c>
      <c r="G16" s="223">
        <v>13.79</v>
      </c>
      <c r="H16" s="223">
        <f t="shared" ref="H16:H22" si="1">F16+G16</f>
        <v>63.34</v>
      </c>
      <c r="I16" s="169">
        <f t="shared" ref="I16:I22" si="2">F16*E16</f>
        <v>792.8</v>
      </c>
      <c r="J16" s="169">
        <f t="shared" ref="J16:J22" si="3">G16*E16</f>
        <v>220.64</v>
      </c>
      <c r="K16" s="169">
        <f t="shared" ref="K16:K22" si="4">I16+J16</f>
        <v>1013.44</v>
      </c>
      <c r="L16" s="224"/>
      <c r="M16" s="224"/>
      <c r="N16" s="224"/>
      <c r="O16" s="224"/>
      <c r="P16" s="224"/>
      <c r="Q16" s="224"/>
      <c r="R16" s="224"/>
      <c r="S16" s="224"/>
      <c r="T16" s="224"/>
      <c r="U16" s="224"/>
      <c r="V16" s="224"/>
      <c r="W16" s="224"/>
      <c r="X16" s="224"/>
      <c r="Y16" s="224"/>
      <c r="Z16" s="224"/>
    </row>
    <row r="17">
      <c r="A17" s="219" t="s">
        <v>285</v>
      </c>
      <c r="B17" s="220">
        <v>96984.0</v>
      </c>
      <c r="C17" s="83" t="s">
        <v>809</v>
      </c>
      <c r="D17" s="221" t="s">
        <v>15</v>
      </c>
      <c r="E17" s="222">
        <v>1.0</v>
      </c>
      <c r="F17" s="223">
        <v>33.36</v>
      </c>
      <c r="G17" s="223">
        <v>27.82</v>
      </c>
      <c r="H17" s="223">
        <f t="shared" si="1"/>
        <v>61.18</v>
      </c>
      <c r="I17" s="169">
        <f t="shared" si="2"/>
        <v>33.36</v>
      </c>
      <c r="J17" s="169">
        <f t="shared" si="3"/>
        <v>27.82</v>
      </c>
      <c r="K17" s="169">
        <f t="shared" si="4"/>
        <v>61.18</v>
      </c>
      <c r="L17" s="224"/>
      <c r="M17" s="224"/>
      <c r="N17" s="224"/>
      <c r="O17" s="224"/>
      <c r="P17" s="224"/>
      <c r="Q17" s="224"/>
      <c r="R17" s="224"/>
      <c r="S17" s="224"/>
      <c r="T17" s="224"/>
      <c r="U17" s="224"/>
      <c r="V17" s="224"/>
      <c r="W17" s="224"/>
      <c r="X17" s="224"/>
      <c r="Y17" s="224"/>
      <c r="Z17" s="224"/>
    </row>
    <row r="18">
      <c r="A18" s="219" t="s">
        <v>810</v>
      </c>
      <c r="B18" s="220">
        <v>96986.0</v>
      </c>
      <c r="C18" s="83" t="s">
        <v>811</v>
      </c>
      <c r="D18" s="221" t="s">
        <v>15</v>
      </c>
      <c r="E18" s="222">
        <v>1.0</v>
      </c>
      <c r="F18" s="223">
        <v>123.85</v>
      </c>
      <c r="G18" s="223">
        <v>13.25</v>
      </c>
      <c r="H18" s="223">
        <f t="shared" si="1"/>
        <v>137.1</v>
      </c>
      <c r="I18" s="169">
        <f t="shared" si="2"/>
        <v>123.85</v>
      </c>
      <c r="J18" s="169">
        <f t="shared" si="3"/>
        <v>13.25</v>
      </c>
      <c r="K18" s="169">
        <f t="shared" si="4"/>
        <v>137.1</v>
      </c>
      <c r="L18" s="224"/>
      <c r="M18" s="224"/>
      <c r="N18" s="224"/>
      <c r="O18" s="224"/>
      <c r="P18" s="224"/>
      <c r="Q18" s="224"/>
      <c r="R18" s="224"/>
      <c r="S18" s="224"/>
      <c r="T18" s="224"/>
      <c r="U18" s="224"/>
      <c r="V18" s="224"/>
      <c r="W18" s="224"/>
      <c r="X18" s="224"/>
      <c r="Y18" s="224"/>
      <c r="Z18" s="224"/>
    </row>
    <row r="19">
      <c r="A19" s="219" t="s">
        <v>812</v>
      </c>
      <c r="B19" s="220">
        <v>96987.0</v>
      </c>
      <c r="C19" s="83" t="s">
        <v>813</v>
      </c>
      <c r="D19" s="221" t="s">
        <v>15</v>
      </c>
      <c r="E19" s="222">
        <v>1.0</v>
      </c>
      <c r="F19" s="223">
        <v>74.49</v>
      </c>
      <c r="G19" s="223">
        <v>38.02</v>
      </c>
      <c r="H19" s="223">
        <f t="shared" si="1"/>
        <v>112.51</v>
      </c>
      <c r="I19" s="169">
        <f t="shared" si="2"/>
        <v>74.49</v>
      </c>
      <c r="J19" s="169">
        <f t="shared" si="3"/>
        <v>38.02</v>
      </c>
      <c r="K19" s="169">
        <f t="shared" si="4"/>
        <v>112.51</v>
      </c>
      <c r="L19" s="224"/>
      <c r="M19" s="224"/>
      <c r="N19" s="224"/>
      <c r="O19" s="224"/>
      <c r="P19" s="224"/>
      <c r="Q19" s="224"/>
      <c r="R19" s="224"/>
      <c r="S19" s="224"/>
      <c r="T19" s="224"/>
      <c r="U19" s="224"/>
      <c r="V19" s="224"/>
      <c r="W19" s="224"/>
      <c r="X19" s="224"/>
      <c r="Y19" s="224"/>
      <c r="Z19" s="224"/>
    </row>
    <row r="20">
      <c r="A20" s="219" t="s">
        <v>814</v>
      </c>
      <c r="B20" s="220">
        <v>96988.0</v>
      </c>
      <c r="C20" s="83" t="s">
        <v>815</v>
      </c>
      <c r="D20" s="221" t="s">
        <v>15</v>
      </c>
      <c r="E20" s="222">
        <v>1.0</v>
      </c>
      <c r="F20" s="223">
        <v>177.71</v>
      </c>
      <c r="G20" s="223">
        <v>5.29</v>
      </c>
      <c r="H20" s="223">
        <f t="shared" si="1"/>
        <v>183</v>
      </c>
      <c r="I20" s="169">
        <f t="shared" si="2"/>
        <v>177.71</v>
      </c>
      <c r="J20" s="169">
        <f t="shared" si="3"/>
        <v>5.29</v>
      </c>
      <c r="K20" s="169">
        <f t="shared" si="4"/>
        <v>183</v>
      </c>
      <c r="L20" s="224"/>
      <c r="M20" s="224"/>
      <c r="N20" s="224"/>
      <c r="O20" s="224"/>
      <c r="P20" s="224"/>
      <c r="Q20" s="224"/>
      <c r="R20" s="224"/>
      <c r="S20" s="224"/>
      <c r="T20" s="224"/>
      <c r="U20" s="224"/>
      <c r="V20" s="224"/>
      <c r="W20" s="224"/>
      <c r="X20" s="224"/>
      <c r="Y20" s="224"/>
      <c r="Z20" s="224"/>
    </row>
    <row r="21">
      <c r="A21" s="219" t="s">
        <v>816</v>
      </c>
      <c r="B21" s="220">
        <v>96989.0</v>
      </c>
      <c r="C21" s="83" t="s">
        <v>817</v>
      </c>
      <c r="D21" s="221" t="s">
        <v>15</v>
      </c>
      <c r="E21" s="222">
        <v>1.0</v>
      </c>
      <c r="F21" s="223">
        <v>148.96</v>
      </c>
      <c r="G21" s="223">
        <v>4.22</v>
      </c>
      <c r="H21" s="223">
        <f t="shared" si="1"/>
        <v>153.18</v>
      </c>
      <c r="I21" s="169">
        <f t="shared" si="2"/>
        <v>148.96</v>
      </c>
      <c r="J21" s="169">
        <f t="shared" si="3"/>
        <v>4.22</v>
      </c>
      <c r="K21" s="169">
        <f t="shared" si="4"/>
        <v>153.18</v>
      </c>
      <c r="L21" s="224"/>
      <c r="M21" s="224"/>
      <c r="N21" s="224"/>
      <c r="O21" s="224"/>
      <c r="P21" s="224"/>
      <c r="Q21" s="224"/>
      <c r="R21" s="224"/>
      <c r="S21" s="224"/>
      <c r="T21" s="224"/>
      <c r="U21" s="224"/>
      <c r="V21" s="224"/>
      <c r="W21" s="224"/>
      <c r="X21" s="224"/>
      <c r="Y21" s="224"/>
      <c r="Z21" s="224"/>
    </row>
    <row r="22">
      <c r="A22" s="219" t="s">
        <v>818</v>
      </c>
      <c r="B22" s="220">
        <v>98463.0</v>
      </c>
      <c r="C22" s="83" t="s">
        <v>819</v>
      </c>
      <c r="D22" s="221" t="s">
        <v>15</v>
      </c>
      <c r="E22" s="222">
        <v>12.0</v>
      </c>
      <c r="F22" s="223">
        <v>13.26</v>
      </c>
      <c r="G22" s="223">
        <v>10.65</v>
      </c>
      <c r="H22" s="223">
        <f t="shared" si="1"/>
        <v>23.91</v>
      </c>
      <c r="I22" s="169">
        <f t="shared" si="2"/>
        <v>159.12</v>
      </c>
      <c r="J22" s="169">
        <f t="shared" si="3"/>
        <v>127.8</v>
      </c>
      <c r="K22" s="169">
        <f t="shared" si="4"/>
        <v>286.92</v>
      </c>
      <c r="L22" s="224"/>
      <c r="M22" s="224"/>
      <c r="N22" s="224"/>
      <c r="O22" s="224"/>
      <c r="P22" s="224"/>
      <c r="Q22" s="224"/>
      <c r="R22" s="224"/>
      <c r="S22" s="224"/>
      <c r="T22" s="224"/>
      <c r="U22" s="224"/>
      <c r="V22" s="224"/>
      <c r="W22" s="224"/>
      <c r="X22" s="224"/>
      <c r="Y22" s="224"/>
      <c r="Z22" s="224"/>
    </row>
    <row r="23">
      <c r="A23" s="206"/>
      <c r="B23" s="206"/>
      <c r="C23" s="206"/>
      <c r="D23" s="206"/>
      <c r="E23" s="225" t="s">
        <v>820</v>
      </c>
      <c r="F23" s="34"/>
      <c r="G23" s="35"/>
      <c r="H23" s="226"/>
      <c r="I23" s="226">
        <f t="shared" ref="I23:K23" si="5">SUM(I16:I22)</f>
        <v>1510.29</v>
      </c>
      <c r="J23" s="226">
        <f t="shared" si="5"/>
        <v>437.04</v>
      </c>
      <c r="K23" s="226">
        <f t="shared" si="5"/>
        <v>1947.33</v>
      </c>
    </row>
    <row r="24">
      <c r="E24" s="227"/>
    </row>
    <row r="25">
      <c r="A25" s="209" t="s">
        <v>270</v>
      </c>
      <c r="B25" s="210" t="s">
        <v>271</v>
      </c>
      <c r="C25" s="34"/>
      <c r="D25" s="209" t="s">
        <v>58</v>
      </c>
      <c r="E25" s="211" t="s">
        <v>798</v>
      </c>
      <c r="F25" s="34"/>
      <c r="G25" s="34"/>
      <c r="H25" s="34"/>
      <c r="I25" s="34"/>
      <c r="J25" s="34"/>
      <c r="K25" s="35"/>
    </row>
    <row r="26">
      <c r="A26" s="212" t="s">
        <v>12</v>
      </c>
      <c r="B26" s="212" t="s">
        <v>799</v>
      </c>
      <c r="C26" s="213"/>
      <c r="D26" s="213"/>
      <c r="E26" s="214"/>
      <c r="F26" s="215" t="s">
        <v>800</v>
      </c>
      <c r="G26" s="34"/>
      <c r="H26" s="35"/>
      <c r="I26" s="215" t="s">
        <v>801</v>
      </c>
      <c r="J26" s="34"/>
      <c r="K26" s="35"/>
    </row>
    <row r="27">
      <c r="A27" s="216" t="s">
        <v>802</v>
      </c>
      <c r="B27" s="216" t="s">
        <v>13</v>
      </c>
      <c r="C27" s="217" t="s">
        <v>11</v>
      </c>
      <c r="D27" s="217" t="s">
        <v>803</v>
      </c>
      <c r="E27" s="218" t="s">
        <v>804</v>
      </c>
      <c r="F27" s="217" t="s">
        <v>805</v>
      </c>
      <c r="G27" s="217" t="s">
        <v>21</v>
      </c>
      <c r="H27" s="217" t="s">
        <v>806</v>
      </c>
      <c r="I27" s="217" t="s">
        <v>805</v>
      </c>
      <c r="J27" s="217" t="s">
        <v>21</v>
      </c>
      <c r="K27" s="217" t="s">
        <v>806</v>
      </c>
    </row>
    <row r="28">
      <c r="A28" s="219" t="s">
        <v>821</v>
      </c>
      <c r="B28" s="220">
        <v>90437.0</v>
      </c>
      <c r="C28" s="83" t="s">
        <v>822</v>
      </c>
      <c r="D28" s="221" t="s">
        <v>15</v>
      </c>
      <c r="E28" s="222">
        <v>1.0</v>
      </c>
      <c r="F28" s="223">
        <v>8.38</v>
      </c>
      <c r="G28" s="223">
        <v>25.17</v>
      </c>
      <c r="H28" s="223">
        <f t="shared" ref="H28:H30" si="6">F28+G28</f>
        <v>33.55</v>
      </c>
      <c r="I28" s="169">
        <f t="shared" ref="I28:I30" si="7">F28*E28</f>
        <v>8.38</v>
      </c>
      <c r="J28" s="169">
        <f t="shared" ref="J28:J30" si="8">G28*E28</f>
        <v>25.17</v>
      </c>
      <c r="K28" s="169">
        <f t="shared" ref="K28:K30" si="9">I28+J28</f>
        <v>33.55</v>
      </c>
      <c r="L28" s="224"/>
      <c r="M28" s="224"/>
      <c r="N28" s="224"/>
      <c r="O28" s="224"/>
      <c r="P28" s="224"/>
      <c r="Q28" s="224"/>
      <c r="R28" s="224"/>
      <c r="S28" s="224"/>
      <c r="T28" s="224"/>
      <c r="U28" s="224"/>
      <c r="V28" s="224"/>
      <c r="W28" s="224"/>
      <c r="X28" s="224"/>
      <c r="Y28" s="224"/>
      <c r="Z28" s="224"/>
    </row>
    <row r="29">
      <c r="A29" s="219" t="s">
        <v>823</v>
      </c>
      <c r="B29" s="220">
        <v>91188.0</v>
      </c>
      <c r="C29" s="83" t="s">
        <v>824</v>
      </c>
      <c r="D29" s="221" t="s">
        <v>15</v>
      </c>
      <c r="E29" s="222">
        <v>1.0</v>
      </c>
      <c r="F29" s="223">
        <v>2.84</v>
      </c>
      <c r="G29" s="223">
        <v>4.06</v>
      </c>
      <c r="H29" s="223">
        <f t="shared" si="6"/>
        <v>6.9</v>
      </c>
      <c r="I29" s="169">
        <f t="shared" si="7"/>
        <v>2.84</v>
      </c>
      <c r="J29" s="169">
        <f t="shared" si="8"/>
        <v>4.06</v>
      </c>
      <c r="K29" s="169">
        <f t="shared" si="9"/>
        <v>6.9</v>
      </c>
      <c r="L29" s="224"/>
      <c r="M29" s="224"/>
      <c r="N29" s="224"/>
      <c r="O29" s="224"/>
      <c r="P29" s="224"/>
      <c r="Q29" s="224"/>
      <c r="R29" s="224"/>
      <c r="S29" s="224"/>
      <c r="T29" s="224"/>
      <c r="U29" s="224"/>
      <c r="V29" s="224"/>
      <c r="W29" s="224"/>
      <c r="X29" s="224"/>
      <c r="Y29" s="224"/>
      <c r="Z29" s="224"/>
    </row>
    <row r="30">
      <c r="A30" s="219" t="s">
        <v>825</v>
      </c>
      <c r="B30" s="220">
        <v>88489.0</v>
      </c>
      <c r="C30" s="83" t="s">
        <v>545</v>
      </c>
      <c r="D30" s="221" t="s">
        <v>58</v>
      </c>
      <c r="E30" s="222">
        <v>0.5</v>
      </c>
      <c r="F30" s="223">
        <v>9.87</v>
      </c>
      <c r="G30" s="223">
        <v>4.4</v>
      </c>
      <c r="H30" s="223">
        <f t="shared" si="6"/>
        <v>14.27</v>
      </c>
      <c r="I30" s="169">
        <f t="shared" si="7"/>
        <v>4.935</v>
      </c>
      <c r="J30" s="169">
        <f t="shared" si="8"/>
        <v>2.2</v>
      </c>
      <c r="K30" s="169">
        <f t="shared" si="9"/>
        <v>7.135</v>
      </c>
      <c r="L30" s="224"/>
      <c r="M30" s="224"/>
      <c r="N30" s="224"/>
      <c r="O30" s="224"/>
      <c r="P30" s="224"/>
      <c r="Q30" s="224"/>
      <c r="R30" s="224"/>
      <c r="S30" s="224"/>
      <c r="T30" s="224"/>
      <c r="U30" s="224"/>
      <c r="V30" s="224"/>
      <c r="W30" s="224"/>
      <c r="X30" s="224"/>
      <c r="Y30" s="224"/>
      <c r="Z30" s="224"/>
    </row>
    <row r="31">
      <c r="A31" s="206"/>
      <c r="B31" s="206"/>
      <c r="C31" s="206"/>
      <c r="D31" s="206"/>
      <c r="E31" s="225" t="s">
        <v>820</v>
      </c>
      <c r="F31" s="34"/>
      <c r="G31" s="35"/>
      <c r="H31" s="226"/>
      <c r="I31" s="226">
        <f t="shared" ref="I31:K31" si="10">SUM(I28:I30)</f>
        <v>16.155</v>
      </c>
      <c r="J31" s="226">
        <f t="shared" si="10"/>
        <v>31.43</v>
      </c>
      <c r="K31" s="226">
        <f t="shared" si="10"/>
        <v>47.585</v>
      </c>
    </row>
    <row r="32">
      <c r="E32" s="227"/>
    </row>
    <row r="33">
      <c r="A33" s="209" t="s">
        <v>715</v>
      </c>
      <c r="B33" s="210" t="s">
        <v>716</v>
      </c>
      <c r="C33" s="34"/>
      <c r="D33" s="209" t="s">
        <v>15</v>
      </c>
      <c r="E33" s="211" t="s">
        <v>798</v>
      </c>
      <c r="F33" s="34"/>
      <c r="G33" s="34"/>
      <c r="H33" s="34"/>
      <c r="I33" s="34"/>
      <c r="J33" s="34"/>
      <c r="K33" s="35"/>
    </row>
    <row r="34">
      <c r="A34" s="212" t="s">
        <v>12</v>
      </c>
      <c r="B34" s="212" t="s">
        <v>799</v>
      </c>
      <c r="C34" s="213"/>
      <c r="D34" s="213"/>
      <c r="E34" s="214"/>
      <c r="F34" s="215" t="s">
        <v>800</v>
      </c>
      <c r="G34" s="34"/>
      <c r="H34" s="35"/>
      <c r="I34" s="215" t="s">
        <v>801</v>
      </c>
      <c r="J34" s="34"/>
      <c r="K34" s="35"/>
    </row>
    <row r="35">
      <c r="A35" s="216" t="s">
        <v>802</v>
      </c>
      <c r="B35" s="216" t="s">
        <v>13</v>
      </c>
      <c r="C35" s="217" t="s">
        <v>11</v>
      </c>
      <c r="D35" s="217" t="s">
        <v>803</v>
      </c>
      <c r="E35" s="218" t="s">
        <v>804</v>
      </c>
      <c r="F35" s="217" t="s">
        <v>805</v>
      </c>
      <c r="G35" s="217" t="s">
        <v>21</v>
      </c>
      <c r="H35" s="217" t="s">
        <v>806</v>
      </c>
      <c r="I35" s="217" t="s">
        <v>805</v>
      </c>
      <c r="J35" s="217" t="s">
        <v>21</v>
      </c>
      <c r="K35" s="217" t="s">
        <v>806</v>
      </c>
    </row>
    <row r="36">
      <c r="A36" s="219" t="s">
        <v>826</v>
      </c>
      <c r="B36" s="220">
        <v>100777.0</v>
      </c>
      <c r="C36" s="83" t="s">
        <v>827</v>
      </c>
      <c r="D36" s="221" t="s">
        <v>47</v>
      </c>
      <c r="E36" s="222">
        <v>455.66</v>
      </c>
      <c r="F36" s="223">
        <v>16.2</v>
      </c>
      <c r="G36" s="223">
        <v>1.07</v>
      </c>
      <c r="H36" s="223">
        <f t="shared" ref="H36:H42" si="11">F36+G36</f>
        <v>17.27</v>
      </c>
      <c r="I36" s="169">
        <f t="shared" ref="I36:I42" si="12">F36*E36</f>
        <v>7381.692</v>
      </c>
      <c r="J36" s="169">
        <f t="shared" ref="J36:J42" si="13">G36*E36</f>
        <v>487.5562</v>
      </c>
      <c r="K36" s="169">
        <f t="shared" ref="K36:K42" si="14">I36+J36</f>
        <v>7869.2482</v>
      </c>
    </row>
    <row r="37">
      <c r="A37" s="219" t="s">
        <v>828</v>
      </c>
      <c r="B37" s="220">
        <v>94213.0</v>
      </c>
      <c r="C37" s="83" t="s">
        <v>829</v>
      </c>
      <c r="D37" s="221" t="s">
        <v>58</v>
      </c>
      <c r="E37" s="222">
        <v>24.18</v>
      </c>
      <c r="F37" s="223">
        <v>90.4</v>
      </c>
      <c r="G37" s="223">
        <v>2.97</v>
      </c>
      <c r="H37" s="223">
        <f t="shared" si="11"/>
        <v>93.37</v>
      </c>
      <c r="I37" s="169">
        <f t="shared" si="12"/>
        <v>2185.872</v>
      </c>
      <c r="J37" s="169">
        <f t="shared" si="13"/>
        <v>71.8146</v>
      </c>
      <c r="K37" s="169">
        <f t="shared" si="14"/>
        <v>2257.6866</v>
      </c>
    </row>
    <row r="38">
      <c r="A38" s="219" t="s">
        <v>830</v>
      </c>
      <c r="B38" s="220">
        <v>97096.0</v>
      </c>
      <c r="C38" s="83" t="s">
        <v>831</v>
      </c>
      <c r="D38" s="221" t="s">
        <v>43</v>
      </c>
      <c r="E38" s="222">
        <v>0.52</v>
      </c>
      <c r="F38" s="223">
        <v>452.15</v>
      </c>
      <c r="G38" s="223">
        <v>13.14</v>
      </c>
      <c r="H38" s="223">
        <f t="shared" si="11"/>
        <v>465.29</v>
      </c>
      <c r="I38" s="169">
        <f t="shared" si="12"/>
        <v>235.118</v>
      </c>
      <c r="J38" s="169">
        <f t="shared" si="13"/>
        <v>6.8328</v>
      </c>
      <c r="K38" s="169">
        <f t="shared" si="14"/>
        <v>241.9508</v>
      </c>
    </row>
    <row r="39">
      <c r="A39" s="219" t="s">
        <v>832</v>
      </c>
      <c r="B39" s="220">
        <v>96545.0</v>
      </c>
      <c r="C39" s="83" t="s">
        <v>833</v>
      </c>
      <c r="D39" s="221" t="s">
        <v>47</v>
      </c>
      <c r="E39" s="222">
        <v>17.23</v>
      </c>
      <c r="F39" s="223">
        <v>13.1</v>
      </c>
      <c r="G39" s="223">
        <v>3.09</v>
      </c>
      <c r="H39" s="223">
        <f t="shared" si="11"/>
        <v>16.19</v>
      </c>
      <c r="I39" s="169">
        <f t="shared" si="12"/>
        <v>225.713</v>
      </c>
      <c r="J39" s="169">
        <f t="shared" si="13"/>
        <v>53.2407</v>
      </c>
      <c r="K39" s="169">
        <f t="shared" si="14"/>
        <v>278.9537</v>
      </c>
    </row>
    <row r="40">
      <c r="A40" s="219" t="s">
        <v>834</v>
      </c>
      <c r="B40" s="220">
        <v>96534.0</v>
      </c>
      <c r="C40" s="83" t="s">
        <v>106</v>
      </c>
      <c r="D40" s="221" t="s">
        <v>58</v>
      </c>
      <c r="E40" s="222">
        <v>2.4</v>
      </c>
      <c r="F40" s="223">
        <v>59.01</v>
      </c>
      <c r="G40" s="223">
        <v>35.35</v>
      </c>
      <c r="H40" s="223">
        <f t="shared" si="11"/>
        <v>94.36</v>
      </c>
      <c r="I40" s="169">
        <f t="shared" si="12"/>
        <v>141.624</v>
      </c>
      <c r="J40" s="169">
        <f t="shared" si="13"/>
        <v>84.84</v>
      </c>
      <c r="K40" s="169">
        <f t="shared" si="14"/>
        <v>226.464</v>
      </c>
    </row>
    <row r="41">
      <c r="A41" s="219" t="s">
        <v>835</v>
      </c>
      <c r="B41" s="220">
        <v>100896.0</v>
      </c>
      <c r="C41" s="83" t="s">
        <v>50</v>
      </c>
      <c r="D41" s="221" t="s">
        <v>51</v>
      </c>
      <c r="E41" s="222">
        <v>12.0</v>
      </c>
      <c r="F41" s="223">
        <v>48.82</v>
      </c>
      <c r="G41" s="223">
        <v>5.3</v>
      </c>
      <c r="H41" s="223">
        <f t="shared" si="11"/>
        <v>54.12</v>
      </c>
      <c r="I41" s="169">
        <f t="shared" si="12"/>
        <v>585.84</v>
      </c>
      <c r="J41" s="169">
        <f t="shared" si="13"/>
        <v>63.6</v>
      </c>
      <c r="K41" s="169">
        <f t="shared" si="14"/>
        <v>649.44</v>
      </c>
    </row>
    <row r="42">
      <c r="A42" s="219" t="s">
        <v>825</v>
      </c>
      <c r="B42" s="220">
        <v>100725.0</v>
      </c>
      <c r="C42" s="83" t="s">
        <v>836</v>
      </c>
      <c r="D42" s="221" t="s">
        <v>58</v>
      </c>
      <c r="E42" s="228">
        <v>16.94</v>
      </c>
      <c r="F42" s="223">
        <v>13.07</v>
      </c>
      <c r="G42" s="223">
        <v>9.84</v>
      </c>
      <c r="H42" s="223">
        <f t="shared" si="11"/>
        <v>22.91</v>
      </c>
      <c r="I42" s="169">
        <f t="shared" si="12"/>
        <v>221.4058</v>
      </c>
      <c r="J42" s="169">
        <f t="shared" si="13"/>
        <v>166.6896</v>
      </c>
      <c r="K42" s="169">
        <f t="shared" si="14"/>
        <v>388.0954</v>
      </c>
    </row>
    <row r="43">
      <c r="A43" s="206"/>
      <c r="B43" s="206"/>
      <c r="C43" s="206"/>
      <c r="D43" s="206"/>
      <c r="E43" s="225" t="s">
        <v>820</v>
      </c>
      <c r="F43" s="34"/>
      <c r="G43" s="35"/>
      <c r="H43" s="226"/>
      <c r="I43" s="226">
        <f t="shared" ref="I43:K43" si="15">SUM(I36:I42)</f>
        <v>10977.2648</v>
      </c>
      <c r="J43" s="226">
        <f t="shared" si="15"/>
        <v>934.5739</v>
      </c>
      <c r="K43" s="226">
        <f t="shared" si="15"/>
        <v>11911.8387</v>
      </c>
    </row>
    <row r="44">
      <c r="E44" s="227"/>
    </row>
    <row r="45">
      <c r="A45" s="209" t="s">
        <v>575</v>
      </c>
      <c r="B45" s="210" t="s">
        <v>576</v>
      </c>
      <c r="C45" s="34"/>
      <c r="D45" s="209" t="s">
        <v>15</v>
      </c>
      <c r="E45" s="211" t="s">
        <v>798</v>
      </c>
      <c r="F45" s="34"/>
      <c r="G45" s="34"/>
      <c r="H45" s="34"/>
      <c r="I45" s="34"/>
      <c r="J45" s="34"/>
      <c r="K45" s="35"/>
    </row>
    <row r="46">
      <c r="A46" s="212" t="s">
        <v>12</v>
      </c>
      <c r="B46" s="212" t="s">
        <v>799</v>
      </c>
      <c r="C46" s="213"/>
      <c r="D46" s="213"/>
      <c r="E46" s="214"/>
      <c r="F46" s="215" t="s">
        <v>800</v>
      </c>
      <c r="G46" s="34"/>
      <c r="H46" s="35"/>
      <c r="I46" s="215" t="s">
        <v>801</v>
      </c>
      <c r="J46" s="34"/>
      <c r="K46" s="35"/>
    </row>
    <row r="47">
      <c r="A47" s="216" t="s">
        <v>802</v>
      </c>
      <c r="B47" s="216" t="s">
        <v>13</v>
      </c>
      <c r="C47" s="217" t="s">
        <v>11</v>
      </c>
      <c r="D47" s="217" t="s">
        <v>803</v>
      </c>
      <c r="E47" s="218" t="s">
        <v>804</v>
      </c>
      <c r="F47" s="217" t="s">
        <v>805</v>
      </c>
      <c r="G47" s="217" t="s">
        <v>21</v>
      </c>
      <c r="H47" s="217" t="s">
        <v>806</v>
      </c>
      <c r="I47" s="217" t="s">
        <v>805</v>
      </c>
      <c r="J47" s="217" t="s">
        <v>21</v>
      </c>
      <c r="K47" s="217" t="s">
        <v>806</v>
      </c>
    </row>
    <row r="48">
      <c r="A48" s="219" t="s">
        <v>837</v>
      </c>
      <c r="B48" s="220">
        <v>97096.0</v>
      </c>
      <c r="C48" s="83" t="s">
        <v>831</v>
      </c>
      <c r="D48" s="221" t="s">
        <v>43</v>
      </c>
      <c r="E48" s="222">
        <f>ROUND(8*0.55*0.55*0.4,2)</f>
        <v>0.97</v>
      </c>
      <c r="F48" s="223">
        <v>452.15</v>
      </c>
      <c r="G48" s="223">
        <v>13.14</v>
      </c>
      <c r="H48" s="223">
        <f t="shared" ref="H48:H56" si="16">F48+G48</f>
        <v>465.29</v>
      </c>
      <c r="I48" s="169">
        <f t="shared" ref="I48:I56" si="17">F48*E48</f>
        <v>438.5855</v>
      </c>
      <c r="J48" s="169">
        <f t="shared" ref="J48:J56" si="18">G48*E48</f>
        <v>12.7458</v>
      </c>
      <c r="K48" s="169">
        <f t="shared" ref="K48:K56" si="19">I48+J48</f>
        <v>451.3313</v>
      </c>
    </row>
    <row r="49">
      <c r="A49" s="219" t="s">
        <v>832</v>
      </c>
      <c r="B49" s="220">
        <v>96545.0</v>
      </c>
      <c r="C49" s="83" t="s">
        <v>833</v>
      </c>
      <c r="D49" s="221" t="s">
        <v>47</v>
      </c>
      <c r="E49" s="222">
        <v>44.0</v>
      </c>
      <c r="F49" s="223">
        <v>13.1</v>
      </c>
      <c r="G49" s="223">
        <v>3.09</v>
      </c>
      <c r="H49" s="223">
        <f t="shared" si="16"/>
        <v>16.19</v>
      </c>
      <c r="I49" s="169">
        <f t="shared" si="17"/>
        <v>576.4</v>
      </c>
      <c r="J49" s="169">
        <f t="shared" si="18"/>
        <v>135.96</v>
      </c>
      <c r="K49" s="169">
        <f t="shared" si="19"/>
        <v>712.36</v>
      </c>
    </row>
    <row r="50">
      <c r="A50" s="219" t="s">
        <v>834</v>
      </c>
      <c r="B50" s="220">
        <v>96534.0</v>
      </c>
      <c r="C50" s="83" t="s">
        <v>106</v>
      </c>
      <c r="D50" s="221" t="s">
        <v>58</v>
      </c>
      <c r="E50" s="222">
        <v>1.5</v>
      </c>
      <c r="F50" s="223">
        <v>59.01</v>
      </c>
      <c r="G50" s="223">
        <v>35.35</v>
      </c>
      <c r="H50" s="223">
        <f t="shared" si="16"/>
        <v>94.36</v>
      </c>
      <c r="I50" s="169">
        <f t="shared" si="17"/>
        <v>88.515</v>
      </c>
      <c r="J50" s="169">
        <f t="shared" si="18"/>
        <v>53.025</v>
      </c>
      <c r="K50" s="169">
        <f t="shared" si="19"/>
        <v>141.54</v>
      </c>
    </row>
    <row r="51">
      <c r="A51" s="219" t="s">
        <v>838</v>
      </c>
      <c r="B51" s="220">
        <v>100763.0</v>
      </c>
      <c r="C51" s="83" t="s">
        <v>839</v>
      </c>
      <c r="D51" s="221" t="s">
        <v>47</v>
      </c>
      <c r="E51" s="222">
        <v>544.85</v>
      </c>
      <c r="F51" s="223">
        <v>18.74</v>
      </c>
      <c r="G51" s="223">
        <v>1.0</v>
      </c>
      <c r="H51" s="223">
        <f t="shared" si="16"/>
        <v>19.74</v>
      </c>
      <c r="I51" s="169">
        <f t="shared" si="17"/>
        <v>10210.489</v>
      </c>
      <c r="J51" s="169">
        <f t="shared" si="18"/>
        <v>544.85</v>
      </c>
      <c r="K51" s="169">
        <f t="shared" si="19"/>
        <v>10755.339</v>
      </c>
    </row>
    <row r="52">
      <c r="A52" s="229" t="s">
        <v>835</v>
      </c>
      <c r="B52" s="220">
        <v>100896.0</v>
      </c>
      <c r="C52" s="83" t="s">
        <v>50</v>
      </c>
      <c r="D52" s="221" t="s">
        <v>51</v>
      </c>
      <c r="E52" s="222">
        <f>8*3</f>
        <v>24</v>
      </c>
      <c r="F52" s="223">
        <v>48.82</v>
      </c>
      <c r="G52" s="223">
        <v>5.3</v>
      </c>
      <c r="H52" s="223">
        <f t="shared" si="16"/>
        <v>54.12</v>
      </c>
      <c r="I52" s="169">
        <f t="shared" si="17"/>
        <v>1171.68</v>
      </c>
      <c r="J52" s="169">
        <f t="shared" si="18"/>
        <v>127.2</v>
      </c>
      <c r="K52" s="169">
        <f t="shared" si="19"/>
        <v>1298.88</v>
      </c>
    </row>
    <row r="53">
      <c r="A53" s="229" t="s">
        <v>840</v>
      </c>
      <c r="B53" s="230" t="s">
        <v>841</v>
      </c>
      <c r="C53" s="189" t="s">
        <v>842</v>
      </c>
      <c r="D53" s="229" t="s">
        <v>47</v>
      </c>
      <c r="E53" s="228">
        <v>1416.69</v>
      </c>
      <c r="F53" s="223">
        <v>18.74</v>
      </c>
      <c r="G53" s="223">
        <v>1.0</v>
      </c>
      <c r="H53" s="223">
        <f t="shared" si="16"/>
        <v>19.74</v>
      </c>
      <c r="I53" s="169">
        <f t="shared" si="17"/>
        <v>26548.7706</v>
      </c>
      <c r="J53" s="169">
        <f t="shared" si="18"/>
        <v>1416.69</v>
      </c>
      <c r="K53" s="169">
        <f t="shared" si="19"/>
        <v>27965.4606</v>
      </c>
    </row>
    <row r="54">
      <c r="A54" s="219" t="s">
        <v>843</v>
      </c>
      <c r="B54" s="220">
        <v>99837.0</v>
      </c>
      <c r="C54" s="83" t="s">
        <v>844</v>
      </c>
      <c r="D54" s="221" t="s">
        <v>51</v>
      </c>
      <c r="E54" s="222">
        <v>23.1</v>
      </c>
      <c r="F54" s="223">
        <v>474.92</v>
      </c>
      <c r="G54" s="223">
        <v>167.18</v>
      </c>
      <c r="H54" s="223">
        <f t="shared" si="16"/>
        <v>642.1</v>
      </c>
      <c r="I54" s="169">
        <f t="shared" si="17"/>
        <v>10970.652</v>
      </c>
      <c r="J54" s="169">
        <f t="shared" si="18"/>
        <v>3861.858</v>
      </c>
      <c r="K54" s="169">
        <f t="shared" si="19"/>
        <v>14832.51</v>
      </c>
    </row>
    <row r="55">
      <c r="A55" s="219" t="s">
        <v>845</v>
      </c>
      <c r="B55" s="220">
        <v>99855.0</v>
      </c>
      <c r="C55" s="83" t="s">
        <v>846</v>
      </c>
      <c r="D55" s="221" t="s">
        <v>51</v>
      </c>
      <c r="E55" s="222">
        <v>21.5</v>
      </c>
      <c r="F55" s="223">
        <v>86.12</v>
      </c>
      <c r="G55" s="223">
        <v>28.76</v>
      </c>
      <c r="H55" s="223">
        <f t="shared" si="16"/>
        <v>114.88</v>
      </c>
      <c r="I55" s="169">
        <f t="shared" si="17"/>
        <v>1851.58</v>
      </c>
      <c r="J55" s="169">
        <f t="shared" si="18"/>
        <v>618.34</v>
      </c>
      <c r="K55" s="169">
        <f t="shared" si="19"/>
        <v>2469.92</v>
      </c>
    </row>
    <row r="56">
      <c r="A56" s="219" t="s">
        <v>825</v>
      </c>
      <c r="B56" s="220">
        <v>100725.0</v>
      </c>
      <c r="C56" s="83" t="s">
        <v>836</v>
      </c>
      <c r="D56" s="221" t="s">
        <v>58</v>
      </c>
      <c r="E56" s="231">
        <v>45.91</v>
      </c>
      <c r="F56" s="223">
        <v>13.07</v>
      </c>
      <c r="G56" s="223">
        <v>9.84</v>
      </c>
      <c r="H56" s="223">
        <f t="shared" si="16"/>
        <v>22.91</v>
      </c>
      <c r="I56" s="169">
        <f t="shared" si="17"/>
        <v>600.0437</v>
      </c>
      <c r="J56" s="169">
        <f t="shared" si="18"/>
        <v>451.7544</v>
      </c>
      <c r="K56" s="169">
        <f t="shared" si="19"/>
        <v>1051.7981</v>
      </c>
    </row>
    <row r="57">
      <c r="A57" s="232"/>
      <c r="B57" s="206"/>
      <c r="C57" s="206"/>
      <c r="D57" s="206"/>
      <c r="E57" s="225" t="s">
        <v>820</v>
      </c>
      <c r="F57" s="34"/>
      <c r="G57" s="35"/>
      <c r="H57" s="226"/>
      <c r="I57" s="226">
        <f t="shared" ref="I57:K57" si="20">SUM(I48:I56)</f>
        <v>52456.7158</v>
      </c>
      <c r="J57" s="226">
        <f t="shared" si="20"/>
        <v>7222.4232</v>
      </c>
      <c r="K57" s="226">
        <f t="shared" si="20"/>
        <v>59679.139</v>
      </c>
    </row>
    <row r="58">
      <c r="A58" s="233"/>
      <c r="E58" s="227"/>
    </row>
    <row r="59">
      <c r="E59" s="227"/>
    </row>
    <row r="60">
      <c r="A60" s="209" t="s">
        <v>780</v>
      </c>
      <c r="B60" s="234" t="s">
        <v>781</v>
      </c>
      <c r="C60" s="34"/>
      <c r="D60" s="209" t="s">
        <v>15</v>
      </c>
      <c r="E60" s="211" t="s">
        <v>798</v>
      </c>
      <c r="F60" s="34"/>
      <c r="G60" s="34"/>
      <c r="H60" s="34"/>
      <c r="I60" s="34"/>
      <c r="J60" s="34"/>
      <c r="K60" s="35"/>
    </row>
    <row r="61">
      <c r="A61" s="212" t="s">
        <v>12</v>
      </c>
      <c r="B61" s="212" t="s">
        <v>799</v>
      </c>
      <c r="C61" s="213"/>
      <c r="D61" s="213"/>
      <c r="E61" s="214"/>
      <c r="F61" s="215" t="s">
        <v>800</v>
      </c>
      <c r="G61" s="34"/>
      <c r="H61" s="35"/>
      <c r="I61" s="215" t="s">
        <v>801</v>
      </c>
      <c r="J61" s="34"/>
      <c r="K61" s="35"/>
    </row>
    <row r="62">
      <c r="A62" s="216" t="s">
        <v>802</v>
      </c>
      <c r="B62" s="216" t="s">
        <v>13</v>
      </c>
      <c r="C62" s="217" t="s">
        <v>11</v>
      </c>
      <c r="D62" s="217" t="s">
        <v>803</v>
      </c>
      <c r="E62" s="218" t="s">
        <v>804</v>
      </c>
      <c r="F62" s="217" t="s">
        <v>805</v>
      </c>
      <c r="G62" s="217" t="s">
        <v>21</v>
      </c>
      <c r="H62" s="217" t="s">
        <v>806</v>
      </c>
      <c r="I62" s="217" t="s">
        <v>805</v>
      </c>
      <c r="J62" s="217" t="s">
        <v>21</v>
      </c>
      <c r="K62" s="217" t="s">
        <v>806</v>
      </c>
    </row>
    <row r="63">
      <c r="A63" s="219" t="s">
        <v>837</v>
      </c>
      <c r="B63" s="220">
        <v>97096.0</v>
      </c>
      <c r="C63" s="83" t="s">
        <v>831</v>
      </c>
      <c r="D63" s="221" t="s">
        <v>43</v>
      </c>
      <c r="E63" s="222">
        <f>7*0.55*0.55*0.4</f>
        <v>0.847</v>
      </c>
      <c r="F63" s="223">
        <v>452.15</v>
      </c>
      <c r="G63" s="223">
        <v>13.14</v>
      </c>
      <c r="H63" s="223">
        <f t="shared" ref="H63:H71" si="21">F63+G63</f>
        <v>465.29</v>
      </c>
      <c r="I63" s="169">
        <f t="shared" ref="I63:I71" si="22">F63*E63</f>
        <v>382.97105</v>
      </c>
      <c r="J63" s="169">
        <f t="shared" ref="J63:J71" si="23">G63*E63</f>
        <v>11.12958</v>
      </c>
      <c r="K63" s="169">
        <f t="shared" ref="K63:K71" si="24">I63+J63</f>
        <v>394.10063</v>
      </c>
    </row>
    <row r="64">
      <c r="A64" s="219" t="s">
        <v>832</v>
      </c>
      <c r="B64" s="220">
        <v>96545.0</v>
      </c>
      <c r="C64" s="83" t="s">
        <v>847</v>
      </c>
      <c r="D64" s="221" t="s">
        <v>47</v>
      </c>
      <c r="E64" s="222">
        <v>40.0</v>
      </c>
      <c r="F64" s="223">
        <v>13.1</v>
      </c>
      <c r="G64" s="223">
        <v>3.09</v>
      </c>
      <c r="H64" s="223">
        <f t="shared" si="21"/>
        <v>16.19</v>
      </c>
      <c r="I64" s="169">
        <f t="shared" si="22"/>
        <v>524</v>
      </c>
      <c r="J64" s="169">
        <f t="shared" si="23"/>
        <v>123.6</v>
      </c>
      <c r="K64" s="169">
        <f t="shared" si="24"/>
        <v>647.6</v>
      </c>
    </row>
    <row r="65">
      <c r="A65" s="219" t="s">
        <v>834</v>
      </c>
      <c r="B65" s="220">
        <v>96534.0</v>
      </c>
      <c r="C65" s="83" t="s">
        <v>106</v>
      </c>
      <c r="D65" s="221" t="s">
        <v>58</v>
      </c>
      <c r="E65" s="222">
        <v>1.5</v>
      </c>
      <c r="F65" s="223">
        <v>59.01</v>
      </c>
      <c r="G65" s="223">
        <v>35.35</v>
      </c>
      <c r="H65" s="223">
        <f t="shared" si="21"/>
        <v>94.36</v>
      </c>
      <c r="I65" s="169">
        <f t="shared" si="22"/>
        <v>88.515</v>
      </c>
      <c r="J65" s="169">
        <f t="shared" si="23"/>
        <v>53.025</v>
      </c>
      <c r="K65" s="169">
        <f t="shared" si="24"/>
        <v>141.54</v>
      </c>
    </row>
    <row r="66">
      <c r="A66" s="219" t="s">
        <v>838</v>
      </c>
      <c r="B66" s="220">
        <v>100763.0</v>
      </c>
      <c r="C66" s="83" t="s">
        <v>839</v>
      </c>
      <c r="D66" s="221" t="s">
        <v>47</v>
      </c>
      <c r="E66" s="222">
        <v>498.95</v>
      </c>
      <c r="F66" s="223">
        <v>18.74</v>
      </c>
      <c r="G66" s="223">
        <v>1.0</v>
      </c>
      <c r="H66" s="223">
        <f t="shared" si="21"/>
        <v>19.74</v>
      </c>
      <c r="I66" s="169">
        <f t="shared" si="22"/>
        <v>9350.323</v>
      </c>
      <c r="J66" s="169">
        <f t="shared" si="23"/>
        <v>498.95</v>
      </c>
      <c r="K66" s="169">
        <f t="shared" si="24"/>
        <v>9849.273</v>
      </c>
    </row>
    <row r="67">
      <c r="A67" s="229" t="s">
        <v>835</v>
      </c>
      <c r="B67" s="220">
        <v>100896.0</v>
      </c>
      <c r="C67" s="83" t="s">
        <v>50</v>
      </c>
      <c r="D67" s="221" t="s">
        <v>51</v>
      </c>
      <c r="E67" s="222">
        <f>7*3</f>
        <v>21</v>
      </c>
      <c r="F67" s="223">
        <v>48.82</v>
      </c>
      <c r="G67" s="223">
        <v>5.3</v>
      </c>
      <c r="H67" s="223">
        <f t="shared" si="21"/>
        <v>54.12</v>
      </c>
      <c r="I67" s="169">
        <f t="shared" si="22"/>
        <v>1025.22</v>
      </c>
      <c r="J67" s="169">
        <f t="shared" si="23"/>
        <v>111.3</v>
      </c>
      <c r="K67" s="169">
        <f t="shared" si="24"/>
        <v>1136.52</v>
      </c>
    </row>
    <row r="68">
      <c r="A68" s="229" t="s">
        <v>840</v>
      </c>
      <c r="B68" s="230" t="s">
        <v>841</v>
      </c>
      <c r="C68" s="189" t="s">
        <v>842</v>
      </c>
      <c r="D68" s="221" t="s">
        <v>47</v>
      </c>
      <c r="E68" s="222">
        <v>1534.46</v>
      </c>
      <c r="F68" s="223">
        <v>15.45</v>
      </c>
      <c r="G68" s="223">
        <v>0.0</v>
      </c>
      <c r="H68" s="223">
        <f t="shared" si="21"/>
        <v>15.45</v>
      </c>
      <c r="I68" s="169">
        <f t="shared" si="22"/>
        <v>23707.407</v>
      </c>
      <c r="J68" s="169">
        <f t="shared" si="23"/>
        <v>0</v>
      </c>
      <c r="K68" s="169">
        <f t="shared" si="24"/>
        <v>23707.407</v>
      </c>
    </row>
    <row r="69">
      <c r="A69" s="219" t="s">
        <v>843</v>
      </c>
      <c r="B69" s="220">
        <v>99837.0</v>
      </c>
      <c r="C69" s="83" t="s">
        <v>844</v>
      </c>
      <c r="D69" s="221" t="s">
        <v>51</v>
      </c>
      <c r="E69" s="222">
        <v>21.0</v>
      </c>
      <c r="F69" s="223">
        <v>474.92</v>
      </c>
      <c r="G69" s="223">
        <v>167.18</v>
      </c>
      <c r="H69" s="223">
        <f t="shared" si="21"/>
        <v>642.1</v>
      </c>
      <c r="I69" s="169">
        <f t="shared" si="22"/>
        <v>9973.32</v>
      </c>
      <c r="J69" s="169">
        <f t="shared" si="23"/>
        <v>3510.78</v>
      </c>
      <c r="K69" s="169">
        <f t="shared" si="24"/>
        <v>13484.1</v>
      </c>
    </row>
    <row r="70">
      <c r="A70" s="219" t="s">
        <v>845</v>
      </c>
      <c r="B70" s="220">
        <v>99855.0</v>
      </c>
      <c r="C70" s="83" t="s">
        <v>846</v>
      </c>
      <c r="D70" s="221" t="s">
        <v>51</v>
      </c>
      <c r="E70" s="222">
        <v>18.0</v>
      </c>
      <c r="F70" s="223">
        <v>86.12</v>
      </c>
      <c r="G70" s="223">
        <v>28.76</v>
      </c>
      <c r="H70" s="223">
        <f t="shared" si="21"/>
        <v>114.88</v>
      </c>
      <c r="I70" s="169">
        <f t="shared" si="22"/>
        <v>1550.16</v>
      </c>
      <c r="J70" s="169">
        <f t="shared" si="23"/>
        <v>517.68</v>
      </c>
      <c r="K70" s="169">
        <f t="shared" si="24"/>
        <v>2067.84</v>
      </c>
    </row>
    <row r="71">
      <c r="A71" s="219" t="s">
        <v>825</v>
      </c>
      <c r="B71" s="220">
        <v>100725.0</v>
      </c>
      <c r="C71" s="83" t="s">
        <v>836</v>
      </c>
      <c r="D71" s="221" t="s">
        <v>58</v>
      </c>
      <c r="E71" s="228">
        <v>31.83</v>
      </c>
      <c r="F71" s="223">
        <v>13.07</v>
      </c>
      <c r="G71" s="223">
        <v>9.84</v>
      </c>
      <c r="H71" s="223">
        <f t="shared" si="21"/>
        <v>22.91</v>
      </c>
      <c r="I71" s="169">
        <f t="shared" si="22"/>
        <v>416.0181</v>
      </c>
      <c r="J71" s="169">
        <f t="shared" si="23"/>
        <v>313.2072</v>
      </c>
      <c r="K71" s="169">
        <f t="shared" si="24"/>
        <v>729.2253</v>
      </c>
    </row>
    <row r="72">
      <c r="A72" s="206"/>
      <c r="B72" s="206"/>
      <c r="C72" s="206"/>
      <c r="D72" s="206"/>
      <c r="E72" s="225" t="s">
        <v>820</v>
      </c>
      <c r="F72" s="34"/>
      <c r="G72" s="35"/>
      <c r="H72" s="226"/>
      <c r="I72" s="226">
        <f t="shared" ref="I72:K72" si="25">SUM(I63:I71)</f>
        <v>47017.93415</v>
      </c>
      <c r="J72" s="226">
        <f t="shared" si="25"/>
        <v>5139.67178</v>
      </c>
      <c r="K72" s="226">
        <f t="shared" si="25"/>
        <v>52157.60593</v>
      </c>
    </row>
    <row r="73">
      <c r="E73" s="227"/>
    </row>
    <row r="74">
      <c r="A74" s="235"/>
      <c r="B74" s="235"/>
      <c r="C74" s="235"/>
      <c r="D74" s="235"/>
      <c r="E74" s="236"/>
      <c r="F74" s="235"/>
      <c r="G74" s="235"/>
      <c r="H74" s="235"/>
      <c r="I74" s="235"/>
      <c r="J74" s="235"/>
      <c r="K74" s="235"/>
    </row>
    <row r="75">
      <c r="E75" s="227"/>
    </row>
    <row r="76">
      <c r="E76" s="227"/>
    </row>
    <row r="77">
      <c r="E77" s="227"/>
    </row>
    <row r="78">
      <c r="E78" s="227"/>
    </row>
    <row r="79">
      <c r="E79" s="227"/>
    </row>
    <row r="80">
      <c r="E80" s="227"/>
    </row>
    <row r="81">
      <c r="E81" s="227"/>
    </row>
    <row r="82">
      <c r="E82" s="227"/>
    </row>
    <row r="83">
      <c r="E83" s="227"/>
    </row>
    <row r="84">
      <c r="E84" s="227"/>
    </row>
    <row r="85">
      <c r="E85" s="227"/>
    </row>
    <row r="86">
      <c r="E86" s="227"/>
    </row>
    <row r="87">
      <c r="E87" s="227"/>
    </row>
    <row r="88">
      <c r="E88" s="227"/>
    </row>
    <row r="89">
      <c r="E89" s="227"/>
    </row>
    <row r="90">
      <c r="E90" s="227"/>
    </row>
    <row r="91">
      <c r="E91" s="227"/>
    </row>
    <row r="92">
      <c r="E92" s="227"/>
    </row>
    <row r="93">
      <c r="E93" s="227"/>
    </row>
    <row r="94">
      <c r="E94" s="227"/>
    </row>
    <row r="95">
      <c r="E95" s="227"/>
    </row>
    <row r="96">
      <c r="E96" s="227"/>
    </row>
    <row r="97">
      <c r="E97" s="227"/>
    </row>
    <row r="98">
      <c r="E98" s="227"/>
    </row>
    <row r="99">
      <c r="E99" s="227"/>
    </row>
    <row r="100">
      <c r="E100" s="227"/>
    </row>
    <row r="101">
      <c r="E101" s="227"/>
    </row>
    <row r="102">
      <c r="E102" s="227"/>
    </row>
    <row r="103">
      <c r="E103" s="227"/>
    </row>
    <row r="104">
      <c r="E104" s="227"/>
    </row>
    <row r="105">
      <c r="E105" s="227"/>
    </row>
    <row r="106">
      <c r="E106" s="227"/>
    </row>
    <row r="107">
      <c r="E107" s="227"/>
    </row>
    <row r="108">
      <c r="E108" s="227"/>
    </row>
    <row r="109">
      <c r="E109" s="227"/>
    </row>
    <row r="110">
      <c r="E110" s="227"/>
    </row>
    <row r="111">
      <c r="E111" s="227"/>
    </row>
    <row r="112">
      <c r="E112" s="227"/>
    </row>
    <row r="113">
      <c r="E113" s="227"/>
    </row>
    <row r="114">
      <c r="E114" s="227"/>
    </row>
    <row r="115">
      <c r="E115" s="227"/>
    </row>
    <row r="116">
      <c r="E116" s="227"/>
    </row>
    <row r="117">
      <c r="E117" s="227"/>
    </row>
    <row r="118">
      <c r="E118" s="227"/>
    </row>
    <row r="119">
      <c r="E119" s="227"/>
    </row>
    <row r="120">
      <c r="E120" s="227"/>
    </row>
    <row r="121">
      <c r="E121" s="227"/>
    </row>
    <row r="122">
      <c r="E122" s="227"/>
    </row>
    <row r="123">
      <c r="E123" s="227"/>
    </row>
    <row r="124">
      <c r="E124" s="227"/>
    </row>
    <row r="125">
      <c r="E125" s="227"/>
    </row>
    <row r="126">
      <c r="E126" s="227"/>
    </row>
    <row r="127">
      <c r="E127" s="227"/>
    </row>
    <row r="128">
      <c r="E128" s="227"/>
    </row>
    <row r="129">
      <c r="E129" s="227"/>
    </row>
    <row r="130">
      <c r="E130" s="227"/>
    </row>
    <row r="131">
      <c r="E131" s="227"/>
    </row>
    <row r="132">
      <c r="E132" s="227"/>
    </row>
    <row r="133">
      <c r="E133" s="227"/>
    </row>
    <row r="134">
      <c r="E134" s="227"/>
    </row>
    <row r="135">
      <c r="E135" s="227"/>
    </row>
    <row r="136">
      <c r="E136" s="227"/>
    </row>
    <row r="137">
      <c r="E137" s="227"/>
    </row>
    <row r="138">
      <c r="E138" s="227"/>
    </row>
    <row r="139">
      <c r="E139" s="227"/>
    </row>
    <row r="140">
      <c r="E140" s="227"/>
    </row>
    <row r="141">
      <c r="E141" s="227"/>
    </row>
    <row r="142">
      <c r="E142" s="227"/>
    </row>
    <row r="143">
      <c r="E143" s="227"/>
    </row>
    <row r="144">
      <c r="E144" s="227"/>
    </row>
    <row r="145">
      <c r="E145" s="227"/>
    </row>
    <row r="146">
      <c r="E146" s="227"/>
    </row>
    <row r="147">
      <c r="E147" s="227"/>
    </row>
    <row r="148">
      <c r="E148" s="227"/>
    </row>
    <row r="149">
      <c r="E149" s="227"/>
    </row>
    <row r="150">
      <c r="E150" s="227"/>
    </row>
    <row r="151">
      <c r="E151" s="227"/>
    </row>
    <row r="152">
      <c r="E152" s="227"/>
    </row>
    <row r="153">
      <c r="E153" s="227"/>
    </row>
    <row r="154">
      <c r="E154" s="227"/>
    </row>
    <row r="155">
      <c r="E155" s="227"/>
    </row>
    <row r="156">
      <c r="E156" s="227"/>
    </row>
    <row r="157">
      <c r="E157" s="227"/>
    </row>
    <row r="158">
      <c r="E158" s="227"/>
    </row>
    <row r="159">
      <c r="E159" s="227"/>
    </row>
    <row r="160">
      <c r="E160" s="227"/>
    </row>
    <row r="161">
      <c r="E161" s="227"/>
    </row>
    <row r="162">
      <c r="E162" s="227"/>
    </row>
    <row r="163">
      <c r="E163" s="227"/>
    </row>
    <row r="164">
      <c r="E164" s="227"/>
    </row>
    <row r="165">
      <c r="E165" s="227"/>
    </row>
    <row r="166">
      <c r="E166" s="227"/>
    </row>
    <row r="167">
      <c r="E167" s="227"/>
    </row>
    <row r="168">
      <c r="E168" s="227"/>
    </row>
    <row r="169">
      <c r="E169" s="227"/>
    </row>
    <row r="170">
      <c r="E170" s="227"/>
    </row>
    <row r="171">
      <c r="E171" s="227"/>
    </row>
    <row r="172">
      <c r="E172" s="227"/>
    </row>
    <row r="173">
      <c r="E173" s="227"/>
    </row>
    <row r="174">
      <c r="E174" s="227"/>
    </row>
    <row r="175">
      <c r="E175" s="227"/>
    </row>
    <row r="176">
      <c r="E176" s="227"/>
    </row>
    <row r="177">
      <c r="E177" s="227"/>
    </row>
    <row r="178">
      <c r="E178" s="227"/>
    </row>
    <row r="179">
      <c r="E179" s="227"/>
    </row>
    <row r="180">
      <c r="E180" s="227"/>
    </row>
    <row r="181">
      <c r="E181" s="227"/>
    </row>
    <row r="182">
      <c r="E182" s="227"/>
    </row>
    <row r="183">
      <c r="E183" s="227"/>
    </row>
    <row r="184">
      <c r="E184" s="227"/>
    </row>
    <row r="185">
      <c r="E185" s="227"/>
    </row>
    <row r="186">
      <c r="E186" s="227"/>
    </row>
    <row r="187">
      <c r="E187" s="227"/>
    </row>
    <row r="188">
      <c r="E188" s="227"/>
    </row>
    <row r="189">
      <c r="E189" s="227"/>
    </row>
    <row r="190">
      <c r="E190" s="227"/>
    </row>
    <row r="191">
      <c r="E191" s="227"/>
    </row>
    <row r="192">
      <c r="E192" s="227"/>
    </row>
    <row r="193">
      <c r="E193" s="227"/>
    </row>
    <row r="194">
      <c r="E194" s="227"/>
    </row>
    <row r="195">
      <c r="E195" s="227"/>
    </row>
    <row r="196">
      <c r="E196" s="227"/>
    </row>
    <row r="197">
      <c r="E197" s="227"/>
    </row>
    <row r="198">
      <c r="E198" s="227"/>
    </row>
    <row r="199">
      <c r="E199" s="227"/>
    </row>
    <row r="200">
      <c r="E200" s="227"/>
    </row>
    <row r="201">
      <c r="E201" s="227"/>
    </row>
    <row r="202">
      <c r="E202" s="227"/>
    </row>
    <row r="203">
      <c r="E203" s="227"/>
    </row>
    <row r="204">
      <c r="E204" s="227"/>
    </row>
    <row r="205">
      <c r="E205" s="227"/>
    </row>
    <row r="206">
      <c r="E206" s="227"/>
    </row>
    <row r="207">
      <c r="E207" s="227"/>
    </row>
    <row r="208">
      <c r="E208" s="227"/>
    </row>
    <row r="209">
      <c r="E209" s="227"/>
    </row>
    <row r="210">
      <c r="E210" s="227"/>
    </row>
    <row r="211">
      <c r="E211" s="227"/>
    </row>
    <row r="212">
      <c r="E212" s="227"/>
    </row>
    <row r="213">
      <c r="E213" s="227"/>
    </row>
    <row r="214">
      <c r="E214" s="227"/>
    </row>
    <row r="215">
      <c r="E215" s="227"/>
    </row>
    <row r="216">
      <c r="E216" s="227"/>
    </row>
    <row r="217">
      <c r="E217" s="227"/>
    </row>
    <row r="218">
      <c r="E218" s="227"/>
    </row>
    <row r="219">
      <c r="E219" s="227"/>
    </row>
    <row r="220">
      <c r="E220" s="227"/>
    </row>
    <row r="221">
      <c r="E221" s="227"/>
    </row>
    <row r="222">
      <c r="E222" s="227"/>
    </row>
    <row r="223">
      <c r="E223" s="227"/>
    </row>
    <row r="224">
      <c r="E224" s="227"/>
    </row>
    <row r="225">
      <c r="E225" s="227"/>
    </row>
    <row r="226">
      <c r="E226" s="227"/>
    </row>
    <row r="227">
      <c r="E227" s="227"/>
    </row>
    <row r="228">
      <c r="E228" s="227"/>
    </row>
    <row r="229">
      <c r="E229" s="227"/>
    </row>
    <row r="230">
      <c r="E230" s="227"/>
    </row>
    <row r="231">
      <c r="E231" s="227"/>
    </row>
    <row r="232">
      <c r="E232" s="227"/>
    </row>
    <row r="233">
      <c r="E233" s="227"/>
    </row>
    <row r="234">
      <c r="E234" s="227"/>
    </row>
    <row r="235">
      <c r="E235" s="227"/>
    </row>
    <row r="236">
      <c r="E236" s="227"/>
    </row>
    <row r="237">
      <c r="E237" s="227"/>
    </row>
    <row r="238">
      <c r="E238" s="227"/>
    </row>
    <row r="239">
      <c r="E239" s="227"/>
    </row>
    <row r="240">
      <c r="E240" s="227"/>
    </row>
    <row r="241">
      <c r="E241" s="227"/>
    </row>
    <row r="242">
      <c r="E242" s="227"/>
    </row>
    <row r="243">
      <c r="E243" s="227"/>
    </row>
    <row r="244">
      <c r="E244" s="227"/>
    </row>
    <row r="245">
      <c r="E245" s="227"/>
    </row>
    <row r="246">
      <c r="E246" s="227"/>
    </row>
    <row r="247">
      <c r="E247" s="227"/>
    </row>
    <row r="248">
      <c r="E248" s="227"/>
    </row>
    <row r="249">
      <c r="E249" s="227"/>
    </row>
    <row r="250">
      <c r="E250" s="227"/>
    </row>
    <row r="251">
      <c r="E251" s="227"/>
    </row>
    <row r="252">
      <c r="E252" s="227"/>
    </row>
    <row r="253">
      <c r="E253" s="227"/>
    </row>
    <row r="254">
      <c r="E254" s="227"/>
    </row>
    <row r="255">
      <c r="E255" s="227"/>
    </row>
    <row r="256">
      <c r="E256" s="227"/>
    </row>
    <row r="257">
      <c r="E257" s="227"/>
    </row>
    <row r="258">
      <c r="E258" s="227"/>
    </row>
    <row r="259">
      <c r="E259" s="227"/>
    </row>
    <row r="260">
      <c r="E260" s="227"/>
    </row>
    <row r="261">
      <c r="E261" s="227"/>
    </row>
    <row r="262">
      <c r="E262" s="227"/>
    </row>
    <row r="263">
      <c r="E263" s="227"/>
    </row>
    <row r="264">
      <c r="E264" s="227"/>
    </row>
    <row r="265">
      <c r="E265" s="227"/>
    </row>
    <row r="266">
      <c r="E266" s="227"/>
    </row>
    <row r="267">
      <c r="E267" s="227"/>
    </row>
    <row r="268">
      <c r="E268" s="227"/>
    </row>
    <row r="269">
      <c r="E269" s="227"/>
    </row>
    <row r="270">
      <c r="E270" s="227"/>
    </row>
    <row r="271">
      <c r="E271" s="227"/>
    </row>
    <row r="272">
      <c r="E272" s="227"/>
    </row>
    <row r="273">
      <c r="E273" s="227"/>
    </row>
    <row r="274">
      <c r="E274" s="227"/>
    </row>
    <row r="275">
      <c r="E275" s="227"/>
    </row>
    <row r="276">
      <c r="E276" s="227"/>
    </row>
    <row r="277">
      <c r="E277" s="227"/>
    </row>
    <row r="278">
      <c r="E278" s="227"/>
    </row>
    <row r="279">
      <c r="E279" s="227"/>
    </row>
    <row r="280">
      <c r="E280" s="227"/>
    </row>
    <row r="281">
      <c r="E281" s="227"/>
    </row>
    <row r="282">
      <c r="E282" s="227"/>
    </row>
    <row r="283">
      <c r="E283" s="227"/>
    </row>
    <row r="284">
      <c r="E284" s="227"/>
    </row>
    <row r="285">
      <c r="E285" s="227"/>
    </row>
    <row r="286">
      <c r="E286" s="227"/>
    </row>
    <row r="287">
      <c r="E287" s="227"/>
    </row>
    <row r="288">
      <c r="E288" s="227"/>
    </row>
    <row r="289">
      <c r="E289" s="227"/>
    </row>
    <row r="290">
      <c r="E290" s="227"/>
    </row>
    <row r="291">
      <c r="E291" s="227"/>
    </row>
    <row r="292">
      <c r="E292" s="227"/>
    </row>
    <row r="293">
      <c r="E293" s="227"/>
    </row>
    <row r="294">
      <c r="E294" s="227"/>
    </row>
    <row r="295">
      <c r="E295" s="227"/>
    </row>
    <row r="296">
      <c r="E296" s="227"/>
    </row>
    <row r="297">
      <c r="E297" s="227"/>
    </row>
    <row r="298">
      <c r="E298" s="227"/>
    </row>
    <row r="299">
      <c r="E299" s="227"/>
    </row>
    <row r="300">
      <c r="E300" s="227"/>
    </row>
    <row r="301">
      <c r="E301" s="227"/>
    </row>
    <row r="302">
      <c r="E302" s="227"/>
    </row>
    <row r="303">
      <c r="E303" s="227"/>
    </row>
    <row r="304">
      <c r="E304" s="227"/>
    </row>
    <row r="305">
      <c r="E305" s="227"/>
    </row>
    <row r="306">
      <c r="E306" s="227"/>
    </row>
    <row r="307">
      <c r="E307" s="227"/>
    </row>
    <row r="308">
      <c r="E308" s="227"/>
    </row>
    <row r="309">
      <c r="E309" s="227"/>
    </row>
    <row r="310">
      <c r="E310" s="227"/>
    </row>
    <row r="311">
      <c r="E311" s="227"/>
    </row>
    <row r="312">
      <c r="E312" s="227"/>
    </row>
    <row r="313">
      <c r="E313" s="227"/>
    </row>
    <row r="314">
      <c r="E314" s="227"/>
    </row>
    <row r="315">
      <c r="E315" s="227"/>
    </row>
    <row r="316">
      <c r="E316" s="227"/>
    </row>
    <row r="317">
      <c r="E317" s="227"/>
    </row>
    <row r="318">
      <c r="E318" s="227"/>
    </row>
    <row r="319">
      <c r="E319" s="227"/>
    </row>
    <row r="320">
      <c r="E320" s="227"/>
    </row>
    <row r="321">
      <c r="E321" s="227"/>
    </row>
    <row r="322">
      <c r="E322" s="227"/>
    </row>
    <row r="323">
      <c r="E323" s="227"/>
    </row>
    <row r="324">
      <c r="E324" s="227"/>
    </row>
    <row r="325">
      <c r="E325" s="227"/>
    </row>
    <row r="326">
      <c r="E326" s="227"/>
    </row>
    <row r="327">
      <c r="E327" s="227"/>
    </row>
    <row r="328">
      <c r="E328" s="227"/>
    </row>
    <row r="329">
      <c r="E329" s="227"/>
    </row>
    <row r="330">
      <c r="E330" s="227"/>
    </row>
    <row r="331">
      <c r="E331" s="227"/>
    </row>
    <row r="332">
      <c r="E332" s="227"/>
    </row>
    <row r="333">
      <c r="E333" s="227"/>
    </row>
    <row r="334">
      <c r="E334" s="227"/>
    </row>
    <row r="335">
      <c r="E335" s="227"/>
    </row>
    <row r="336">
      <c r="E336" s="227"/>
    </row>
    <row r="337">
      <c r="E337" s="227"/>
    </row>
    <row r="338">
      <c r="E338" s="227"/>
    </row>
    <row r="339">
      <c r="E339" s="227"/>
    </row>
    <row r="340">
      <c r="E340" s="227"/>
    </row>
    <row r="341">
      <c r="E341" s="227"/>
    </row>
    <row r="342">
      <c r="E342" s="227"/>
    </row>
    <row r="343">
      <c r="E343" s="227"/>
    </row>
    <row r="344">
      <c r="E344" s="227"/>
    </row>
    <row r="345">
      <c r="E345" s="227"/>
    </row>
    <row r="346">
      <c r="E346" s="227"/>
    </row>
    <row r="347">
      <c r="E347" s="227"/>
    </row>
    <row r="348">
      <c r="E348" s="227"/>
    </row>
    <row r="349">
      <c r="E349" s="227"/>
    </row>
    <row r="350">
      <c r="E350" s="227"/>
    </row>
    <row r="351">
      <c r="E351" s="227"/>
    </row>
    <row r="352">
      <c r="E352" s="227"/>
    </row>
    <row r="353">
      <c r="E353" s="227"/>
    </row>
    <row r="354">
      <c r="E354" s="227"/>
    </row>
    <row r="355">
      <c r="E355" s="227"/>
    </row>
    <row r="356">
      <c r="E356" s="227"/>
    </row>
    <row r="357">
      <c r="E357" s="227"/>
    </row>
    <row r="358">
      <c r="E358" s="227"/>
    </row>
    <row r="359">
      <c r="E359" s="227"/>
    </row>
    <row r="360">
      <c r="E360" s="227"/>
    </row>
    <row r="361">
      <c r="E361" s="227"/>
    </row>
    <row r="362">
      <c r="E362" s="227"/>
    </row>
    <row r="363">
      <c r="E363" s="227"/>
    </row>
    <row r="364">
      <c r="E364" s="227"/>
    </row>
    <row r="365">
      <c r="E365" s="227"/>
    </row>
    <row r="366">
      <c r="E366" s="227"/>
    </row>
    <row r="367">
      <c r="E367" s="227"/>
    </row>
    <row r="368">
      <c r="E368" s="227"/>
    </row>
    <row r="369">
      <c r="E369" s="227"/>
    </row>
    <row r="370">
      <c r="E370" s="227"/>
    </row>
    <row r="371">
      <c r="E371" s="227"/>
    </row>
    <row r="372">
      <c r="E372" s="227"/>
    </row>
    <row r="373">
      <c r="E373" s="227"/>
    </row>
    <row r="374">
      <c r="E374" s="227"/>
    </row>
    <row r="375">
      <c r="E375" s="227"/>
    </row>
    <row r="376">
      <c r="E376" s="227"/>
    </row>
    <row r="377">
      <c r="E377" s="227"/>
    </row>
    <row r="378">
      <c r="E378" s="227"/>
    </row>
    <row r="379">
      <c r="E379" s="227"/>
    </row>
    <row r="380">
      <c r="E380" s="227"/>
    </row>
    <row r="381">
      <c r="E381" s="227"/>
    </row>
    <row r="382">
      <c r="E382" s="227"/>
    </row>
    <row r="383">
      <c r="E383" s="227"/>
    </row>
    <row r="384">
      <c r="E384" s="227"/>
    </row>
    <row r="385">
      <c r="E385" s="227"/>
    </row>
    <row r="386">
      <c r="E386" s="227"/>
    </row>
    <row r="387">
      <c r="E387" s="227"/>
    </row>
    <row r="388">
      <c r="E388" s="227"/>
    </row>
    <row r="389">
      <c r="E389" s="227"/>
    </row>
    <row r="390">
      <c r="E390" s="227"/>
    </row>
    <row r="391">
      <c r="E391" s="227"/>
    </row>
    <row r="392">
      <c r="E392" s="227"/>
    </row>
    <row r="393">
      <c r="E393" s="227"/>
    </row>
    <row r="394">
      <c r="E394" s="227"/>
    </row>
    <row r="395">
      <c r="E395" s="227"/>
    </row>
    <row r="396">
      <c r="E396" s="227"/>
    </row>
    <row r="397">
      <c r="E397" s="227"/>
    </row>
    <row r="398">
      <c r="E398" s="227"/>
    </row>
    <row r="399">
      <c r="E399" s="227"/>
    </row>
    <row r="400">
      <c r="E400" s="227"/>
    </row>
    <row r="401">
      <c r="E401" s="227"/>
    </row>
    <row r="402">
      <c r="E402" s="227"/>
    </row>
    <row r="403">
      <c r="E403" s="227"/>
    </row>
    <row r="404">
      <c r="E404" s="227"/>
    </row>
    <row r="405">
      <c r="E405" s="227"/>
    </row>
    <row r="406">
      <c r="E406" s="227"/>
    </row>
    <row r="407">
      <c r="E407" s="227"/>
    </row>
    <row r="408">
      <c r="E408" s="227"/>
    </row>
    <row r="409">
      <c r="E409" s="227"/>
    </row>
    <row r="410">
      <c r="E410" s="227"/>
    </row>
    <row r="411">
      <c r="E411" s="227"/>
    </row>
    <row r="412">
      <c r="E412" s="227"/>
    </row>
    <row r="413">
      <c r="E413" s="227"/>
    </row>
    <row r="414">
      <c r="E414" s="227"/>
    </row>
    <row r="415">
      <c r="E415" s="227"/>
    </row>
    <row r="416">
      <c r="E416" s="227"/>
    </row>
    <row r="417">
      <c r="E417" s="227"/>
    </row>
    <row r="418">
      <c r="E418" s="227"/>
    </row>
    <row r="419">
      <c r="E419" s="227"/>
    </row>
    <row r="420">
      <c r="E420" s="227"/>
    </row>
    <row r="421">
      <c r="E421" s="227"/>
    </row>
    <row r="422">
      <c r="E422" s="227"/>
    </row>
    <row r="423">
      <c r="E423" s="227"/>
    </row>
    <row r="424">
      <c r="E424" s="227"/>
    </row>
    <row r="425">
      <c r="E425" s="227"/>
    </row>
    <row r="426">
      <c r="E426" s="227"/>
    </row>
    <row r="427">
      <c r="E427" s="227"/>
    </row>
    <row r="428">
      <c r="E428" s="227"/>
    </row>
    <row r="429">
      <c r="E429" s="227"/>
    </row>
    <row r="430">
      <c r="E430" s="227"/>
    </row>
    <row r="431">
      <c r="E431" s="227"/>
    </row>
    <row r="432">
      <c r="E432" s="227"/>
    </row>
    <row r="433">
      <c r="E433" s="227"/>
    </row>
    <row r="434">
      <c r="E434" s="227"/>
    </row>
    <row r="435">
      <c r="E435" s="227"/>
    </row>
    <row r="436">
      <c r="E436" s="227"/>
    </row>
    <row r="437">
      <c r="E437" s="227"/>
    </row>
    <row r="438">
      <c r="E438" s="227"/>
    </row>
    <row r="439">
      <c r="E439" s="227"/>
    </row>
    <row r="440">
      <c r="E440" s="227"/>
    </row>
    <row r="441">
      <c r="E441" s="227"/>
    </row>
    <row r="442">
      <c r="E442" s="227"/>
    </row>
    <row r="443">
      <c r="E443" s="227"/>
    </row>
    <row r="444">
      <c r="E444" s="227"/>
    </row>
    <row r="445">
      <c r="E445" s="227"/>
    </row>
    <row r="446">
      <c r="E446" s="227"/>
    </row>
    <row r="447">
      <c r="E447" s="227"/>
    </row>
    <row r="448">
      <c r="E448" s="227"/>
    </row>
    <row r="449">
      <c r="E449" s="227"/>
    </row>
    <row r="450">
      <c r="E450" s="227"/>
    </row>
    <row r="451">
      <c r="E451" s="227"/>
    </row>
    <row r="452">
      <c r="E452" s="227"/>
    </row>
    <row r="453">
      <c r="E453" s="227"/>
    </row>
    <row r="454">
      <c r="E454" s="227"/>
    </row>
    <row r="455">
      <c r="E455" s="227"/>
    </row>
    <row r="456">
      <c r="E456" s="227"/>
    </row>
    <row r="457">
      <c r="E457" s="227"/>
    </row>
    <row r="458">
      <c r="E458" s="227"/>
    </row>
    <row r="459">
      <c r="E459" s="227"/>
    </row>
    <row r="460">
      <c r="E460" s="227"/>
    </row>
    <row r="461">
      <c r="E461" s="227"/>
    </row>
    <row r="462">
      <c r="E462" s="227"/>
    </row>
    <row r="463">
      <c r="E463" s="227"/>
    </row>
    <row r="464">
      <c r="E464" s="227"/>
    </row>
    <row r="465">
      <c r="E465" s="227"/>
    </row>
    <row r="466">
      <c r="E466" s="227"/>
    </row>
    <row r="467">
      <c r="E467" s="227"/>
    </row>
    <row r="468">
      <c r="E468" s="227"/>
    </row>
    <row r="469">
      <c r="E469" s="227"/>
    </row>
    <row r="470">
      <c r="E470" s="227"/>
    </row>
    <row r="471">
      <c r="E471" s="227"/>
    </row>
    <row r="472">
      <c r="E472" s="227"/>
    </row>
    <row r="473">
      <c r="E473" s="227"/>
    </row>
    <row r="474">
      <c r="E474" s="227"/>
    </row>
    <row r="475">
      <c r="E475" s="227"/>
    </row>
    <row r="476">
      <c r="E476" s="227"/>
    </row>
    <row r="477">
      <c r="E477" s="227"/>
    </row>
    <row r="478">
      <c r="E478" s="227"/>
    </row>
    <row r="479">
      <c r="E479" s="227"/>
    </row>
    <row r="480">
      <c r="E480" s="227"/>
    </row>
    <row r="481">
      <c r="E481" s="227"/>
    </row>
    <row r="482">
      <c r="E482" s="227"/>
    </row>
    <row r="483">
      <c r="E483" s="227"/>
    </row>
    <row r="484">
      <c r="E484" s="227"/>
    </row>
    <row r="485">
      <c r="E485" s="227"/>
    </row>
    <row r="486">
      <c r="E486" s="227"/>
    </row>
    <row r="487">
      <c r="E487" s="227"/>
    </row>
    <row r="488">
      <c r="E488" s="227"/>
    </row>
    <row r="489">
      <c r="E489" s="227"/>
    </row>
    <row r="490">
      <c r="E490" s="227"/>
    </row>
    <row r="491">
      <c r="E491" s="227"/>
    </row>
    <row r="492">
      <c r="E492" s="227"/>
    </row>
    <row r="493">
      <c r="E493" s="227"/>
    </row>
    <row r="494">
      <c r="E494" s="227"/>
    </row>
    <row r="495">
      <c r="E495" s="227"/>
    </row>
    <row r="496">
      <c r="E496" s="227"/>
    </row>
    <row r="497">
      <c r="E497" s="227"/>
    </row>
    <row r="498">
      <c r="E498" s="227"/>
    </row>
    <row r="499">
      <c r="E499" s="227"/>
    </row>
    <row r="500">
      <c r="E500" s="227"/>
    </row>
    <row r="501">
      <c r="E501" s="227"/>
    </row>
    <row r="502">
      <c r="E502" s="227"/>
    </row>
    <row r="503">
      <c r="E503" s="227"/>
    </row>
    <row r="504">
      <c r="E504" s="227"/>
    </row>
    <row r="505">
      <c r="E505" s="227"/>
    </row>
    <row r="506">
      <c r="E506" s="227"/>
    </row>
    <row r="507">
      <c r="E507" s="227"/>
    </row>
    <row r="508">
      <c r="E508" s="227"/>
    </row>
    <row r="509">
      <c r="E509" s="227"/>
    </row>
    <row r="510">
      <c r="E510" s="227"/>
    </row>
    <row r="511">
      <c r="E511" s="227"/>
    </row>
    <row r="512">
      <c r="E512" s="227"/>
    </row>
    <row r="513">
      <c r="E513" s="227"/>
    </row>
    <row r="514">
      <c r="E514" s="227"/>
    </row>
    <row r="515">
      <c r="E515" s="227"/>
    </row>
    <row r="516">
      <c r="E516" s="227"/>
    </row>
    <row r="517">
      <c r="E517" s="227"/>
    </row>
    <row r="518">
      <c r="E518" s="227"/>
    </row>
    <row r="519">
      <c r="E519" s="227"/>
    </row>
    <row r="520">
      <c r="E520" s="227"/>
    </row>
    <row r="521">
      <c r="E521" s="227"/>
    </row>
    <row r="522">
      <c r="E522" s="227"/>
    </row>
    <row r="523">
      <c r="E523" s="227"/>
    </row>
    <row r="524">
      <c r="E524" s="227"/>
    </row>
    <row r="525">
      <c r="E525" s="227"/>
    </row>
    <row r="526">
      <c r="E526" s="227"/>
    </row>
    <row r="527">
      <c r="E527" s="227"/>
    </row>
    <row r="528">
      <c r="E528" s="227"/>
    </row>
    <row r="529">
      <c r="E529" s="227"/>
    </row>
    <row r="530">
      <c r="E530" s="227"/>
    </row>
    <row r="531">
      <c r="E531" s="227"/>
    </row>
    <row r="532">
      <c r="E532" s="227"/>
    </row>
    <row r="533">
      <c r="E533" s="227"/>
    </row>
    <row r="534">
      <c r="E534" s="227"/>
    </row>
    <row r="535">
      <c r="E535" s="227"/>
    </row>
    <row r="536">
      <c r="E536" s="227"/>
    </row>
    <row r="537">
      <c r="E537" s="227"/>
    </row>
    <row r="538">
      <c r="E538" s="227"/>
    </row>
    <row r="539">
      <c r="E539" s="227"/>
    </row>
    <row r="540">
      <c r="E540" s="227"/>
    </row>
    <row r="541">
      <c r="E541" s="227"/>
    </row>
    <row r="542">
      <c r="E542" s="227"/>
    </row>
    <row r="543">
      <c r="E543" s="227"/>
    </row>
    <row r="544">
      <c r="E544" s="227"/>
    </row>
    <row r="545">
      <c r="E545" s="227"/>
    </row>
    <row r="546">
      <c r="E546" s="227"/>
    </row>
    <row r="547">
      <c r="E547" s="227"/>
    </row>
    <row r="548">
      <c r="E548" s="227"/>
    </row>
    <row r="549">
      <c r="E549" s="227"/>
    </row>
    <row r="550">
      <c r="E550" s="227"/>
    </row>
    <row r="551">
      <c r="E551" s="227"/>
    </row>
    <row r="552">
      <c r="E552" s="227"/>
    </row>
    <row r="553">
      <c r="E553" s="227"/>
    </row>
    <row r="554">
      <c r="E554" s="227"/>
    </row>
    <row r="555">
      <c r="E555" s="227"/>
    </row>
    <row r="556">
      <c r="E556" s="227"/>
    </row>
    <row r="557">
      <c r="E557" s="227"/>
    </row>
    <row r="558">
      <c r="E558" s="227"/>
    </row>
    <row r="559">
      <c r="E559" s="227"/>
    </row>
    <row r="560">
      <c r="E560" s="227"/>
    </row>
    <row r="561">
      <c r="E561" s="227"/>
    </row>
    <row r="562">
      <c r="E562" s="227"/>
    </row>
    <row r="563">
      <c r="E563" s="227"/>
    </row>
    <row r="564">
      <c r="E564" s="227"/>
    </row>
    <row r="565">
      <c r="E565" s="227"/>
    </row>
    <row r="566">
      <c r="E566" s="227"/>
    </row>
    <row r="567">
      <c r="E567" s="227"/>
    </row>
    <row r="568">
      <c r="E568" s="227"/>
    </row>
    <row r="569">
      <c r="E569" s="227"/>
    </row>
    <row r="570">
      <c r="E570" s="227"/>
    </row>
    <row r="571">
      <c r="E571" s="227"/>
    </row>
    <row r="572">
      <c r="E572" s="227"/>
    </row>
    <row r="573">
      <c r="E573" s="227"/>
    </row>
    <row r="574">
      <c r="E574" s="227"/>
    </row>
    <row r="575">
      <c r="E575" s="227"/>
    </row>
    <row r="576">
      <c r="E576" s="227"/>
    </row>
    <row r="577">
      <c r="E577" s="227"/>
    </row>
    <row r="578">
      <c r="E578" s="227"/>
    </row>
    <row r="579">
      <c r="E579" s="227"/>
    </row>
    <row r="580">
      <c r="E580" s="227"/>
    </row>
    <row r="581">
      <c r="E581" s="227"/>
    </row>
    <row r="582">
      <c r="E582" s="227"/>
    </row>
    <row r="583">
      <c r="E583" s="227"/>
    </row>
    <row r="584">
      <c r="E584" s="227"/>
    </row>
    <row r="585">
      <c r="E585" s="227"/>
    </row>
    <row r="586">
      <c r="E586" s="227"/>
    </row>
    <row r="587">
      <c r="E587" s="227"/>
    </row>
    <row r="588">
      <c r="E588" s="227"/>
    </row>
    <row r="589">
      <c r="E589" s="227"/>
    </row>
    <row r="590">
      <c r="E590" s="227"/>
    </row>
    <row r="591">
      <c r="E591" s="227"/>
    </row>
    <row r="592">
      <c r="E592" s="227"/>
    </row>
    <row r="593">
      <c r="E593" s="227"/>
    </row>
    <row r="594">
      <c r="E594" s="227"/>
    </row>
    <row r="595">
      <c r="E595" s="227"/>
    </row>
    <row r="596">
      <c r="E596" s="227"/>
    </row>
    <row r="597">
      <c r="E597" s="227"/>
    </row>
    <row r="598">
      <c r="E598" s="227"/>
    </row>
    <row r="599">
      <c r="E599" s="227"/>
    </row>
    <row r="600">
      <c r="E600" s="227"/>
    </row>
    <row r="601">
      <c r="E601" s="227"/>
    </row>
    <row r="602">
      <c r="E602" s="227"/>
    </row>
    <row r="603">
      <c r="E603" s="227"/>
    </row>
    <row r="604">
      <c r="E604" s="227"/>
    </row>
    <row r="605">
      <c r="E605" s="227"/>
    </row>
    <row r="606">
      <c r="E606" s="227"/>
    </row>
    <row r="607">
      <c r="E607" s="227"/>
    </row>
    <row r="608">
      <c r="E608" s="227"/>
    </row>
    <row r="609">
      <c r="E609" s="227"/>
    </row>
    <row r="610">
      <c r="E610" s="227"/>
    </row>
    <row r="611">
      <c r="E611" s="227"/>
    </row>
    <row r="612">
      <c r="E612" s="227"/>
    </row>
    <row r="613">
      <c r="E613" s="227"/>
    </row>
    <row r="614">
      <c r="E614" s="227"/>
    </row>
    <row r="615">
      <c r="E615" s="227"/>
    </row>
    <row r="616">
      <c r="E616" s="227"/>
    </row>
    <row r="617">
      <c r="E617" s="227"/>
    </row>
    <row r="618">
      <c r="E618" s="227"/>
    </row>
    <row r="619">
      <c r="E619" s="227"/>
    </row>
    <row r="620">
      <c r="E620" s="227"/>
    </row>
    <row r="621">
      <c r="E621" s="227"/>
    </row>
    <row r="622">
      <c r="E622" s="227"/>
    </row>
    <row r="623">
      <c r="E623" s="227"/>
    </row>
    <row r="624">
      <c r="E624" s="227"/>
    </row>
    <row r="625">
      <c r="E625" s="227"/>
    </row>
    <row r="626">
      <c r="E626" s="227"/>
    </row>
    <row r="627">
      <c r="E627" s="227"/>
    </row>
    <row r="628">
      <c r="E628" s="227"/>
    </row>
    <row r="629">
      <c r="E629" s="227"/>
    </row>
    <row r="630">
      <c r="E630" s="227"/>
    </row>
    <row r="631">
      <c r="E631" s="227"/>
    </row>
    <row r="632">
      <c r="E632" s="227"/>
    </row>
    <row r="633">
      <c r="E633" s="227"/>
    </row>
    <row r="634">
      <c r="E634" s="227"/>
    </row>
    <row r="635">
      <c r="E635" s="227"/>
    </row>
    <row r="636">
      <c r="E636" s="227"/>
    </row>
    <row r="637">
      <c r="E637" s="227"/>
    </row>
    <row r="638">
      <c r="E638" s="227"/>
    </row>
    <row r="639">
      <c r="E639" s="227"/>
    </row>
    <row r="640">
      <c r="E640" s="227"/>
    </row>
    <row r="641">
      <c r="E641" s="227"/>
    </row>
    <row r="642">
      <c r="E642" s="227"/>
    </row>
    <row r="643">
      <c r="E643" s="227"/>
    </row>
    <row r="644">
      <c r="E644" s="227"/>
    </row>
    <row r="645">
      <c r="E645" s="227"/>
    </row>
    <row r="646">
      <c r="E646" s="227"/>
    </row>
    <row r="647">
      <c r="E647" s="227"/>
    </row>
    <row r="648">
      <c r="E648" s="227"/>
    </row>
    <row r="649">
      <c r="E649" s="227"/>
    </row>
    <row r="650">
      <c r="E650" s="227"/>
    </row>
    <row r="651">
      <c r="E651" s="227"/>
    </row>
    <row r="652">
      <c r="E652" s="227"/>
    </row>
    <row r="653">
      <c r="E653" s="227"/>
    </row>
    <row r="654">
      <c r="E654" s="227"/>
    </row>
    <row r="655">
      <c r="E655" s="227"/>
    </row>
    <row r="656">
      <c r="E656" s="227"/>
    </row>
    <row r="657">
      <c r="E657" s="227"/>
    </row>
    <row r="658">
      <c r="E658" s="227"/>
    </row>
    <row r="659">
      <c r="E659" s="227"/>
    </row>
    <row r="660">
      <c r="E660" s="227"/>
    </row>
    <row r="661">
      <c r="E661" s="227"/>
    </row>
    <row r="662">
      <c r="E662" s="227"/>
    </row>
    <row r="663">
      <c r="E663" s="227"/>
    </row>
    <row r="664">
      <c r="E664" s="227"/>
    </row>
    <row r="665">
      <c r="E665" s="227"/>
    </row>
    <row r="666">
      <c r="E666" s="227"/>
    </row>
    <row r="667">
      <c r="E667" s="227"/>
    </row>
    <row r="668">
      <c r="E668" s="227"/>
    </row>
    <row r="669">
      <c r="E669" s="227"/>
    </row>
    <row r="670">
      <c r="E670" s="227"/>
    </row>
    <row r="671">
      <c r="E671" s="227"/>
    </row>
    <row r="672">
      <c r="E672" s="227"/>
    </row>
    <row r="673">
      <c r="E673" s="227"/>
    </row>
    <row r="674">
      <c r="E674" s="227"/>
    </row>
    <row r="675">
      <c r="E675" s="227"/>
    </row>
    <row r="676">
      <c r="E676" s="227"/>
    </row>
    <row r="677">
      <c r="E677" s="227"/>
    </row>
    <row r="678">
      <c r="E678" s="227"/>
    </row>
    <row r="679">
      <c r="E679" s="227"/>
    </row>
    <row r="680">
      <c r="E680" s="227"/>
    </row>
    <row r="681">
      <c r="E681" s="227"/>
    </row>
    <row r="682">
      <c r="E682" s="227"/>
    </row>
    <row r="683">
      <c r="E683" s="227"/>
    </row>
    <row r="684">
      <c r="E684" s="227"/>
    </row>
    <row r="685">
      <c r="E685" s="227"/>
    </row>
    <row r="686">
      <c r="E686" s="227"/>
    </row>
    <row r="687">
      <c r="E687" s="227"/>
    </row>
    <row r="688">
      <c r="E688" s="227"/>
    </row>
    <row r="689">
      <c r="E689" s="227"/>
    </row>
    <row r="690">
      <c r="E690" s="227"/>
    </row>
    <row r="691">
      <c r="E691" s="227"/>
    </row>
    <row r="692">
      <c r="E692" s="227"/>
    </row>
    <row r="693">
      <c r="E693" s="227"/>
    </row>
    <row r="694">
      <c r="E694" s="227"/>
    </row>
    <row r="695">
      <c r="E695" s="227"/>
    </row>
    <row r="696">
      <c r="E696" s="227"/>
    </row>
    <row r="697">
      <c r="E697" s="227"/>
    </row>
    <row r="698">
      <c r="E698" s="227"/>
    </row>
    <row r="699">
      <c r="E699" s="227"/>
    </row>
    <row r="700">
      <c r="E700" s="227"/>
    </row>
    <row r="701">
      <c r="E701" s="227"/>
    </row>
    <row r="702">
      <c r="E702" s="227"/>
    </row>
    <row r="703">
      <c r="E703" s="227"/>
    </row>
    <row r="704">
      <c r="E704" s="227"/>
    </row>
    <row r="705">
      <c r="E705" s="227"/>
    </row>
    <row r="706">
      <c r="E706" s="227"/>
    </row>
    <row r="707">
      <c r="E707" s="227"/>
    </row>
    <row r="708">
      <c r="E708" s="227"/>
    </row>
    <row r="709">
      <c r="E709" s="227"/>
    </row>
    <row r="710">
      <c r="E710" s="227"/>
    </row>
    <row r="711">
      <c r="E711" s="227"/>
    </row>
    <row r="712">
      <c r="E712" s="227"/>
    </row>
    <row r="713">
      <c r="E713" s="227"/>
    </row>
    <row r="714">
      <c r="E714" s="227"/>
    </row>
    <row r="715">
      <c r="E715" s="227"/>
    </row>
    <row r="716">
      <c r="E716" s="227"/>
    </row>
    <row r="717">
      <c r="E717" s="227"/>
    </row>
    <row r="718">
      <c r="E718" s="227"/>
    </row>
    <row r="719">
      <c r="E719" s="227"/>
    </row>
    <row r="720">
      <c r="E720" s="227"/>
    </row>
    <row r="721">
      <c r="E721" s="227"/>
    </row>
    <row r="722">
      <c r="E722" s="227"/>
    </row>
    <row r="723">
      <c r="E723" s="227"/>
    </row>
    <row r="724">
      <c r="E724" s="227"/>
    </row>
    <row r="725">
      <c r="E725" s="227"/>
    </row>
    <row r="726">
      <c r="E726" s="227"/>
    </row>
    <row r="727">
      <c r="E727" s="227"/>
    </row>
    <row r="728">
      <c r="E728" s="227"/>
    </row>
    <row r="729">
      <c r="E729" s="227"/>
    </row>
    <row r="730">
      <c r="E730" s="227"/>
    </row>
    <row r="731">
      <c r="E731" s="227"/>
    </row>
    <row r="732">
      <c r="E732" s="227"/>
    </row>
    <row r="733">
      <c r="E733" s="227"/>
    </row>
    <row r="734">
      <c r="E734" s="227"/>
    </row>
    <row r="735">
      <c r="E735" s="227"/>
    </row>
    <row r="736">
      <c r="E736" s="227"/>
    </row>
    <row r="737">
      <c r="E737" s="227"/>
    </row>
    <row r="738">
      <c r="E738" s="227"/>
    </row>
    <row r="739">
      <c r="E739" s="227"/>
    </row>
    <row r="740">
      <c r="E740" s="227"/>
    </row>
    <row r="741">
      <c r="E741" s="227"/>
    </row>
    <row r="742">
      <c r="E742" s="227"/>
    </row>
    <row r="743">
      <c r="E743" s="227"/>
    </row>
    <row r="744">
      <c r="E744" s="227"/>
    </row>
    <row r="745">
      <c r="E745" s="227"/>
    </row>
    <row r="746">
      <c r="E746" s="227"/>
    </row>
    <row r="747">
      <c r="E747" s="227"/>
    </row>
    <row r="748">
      <c r="E748" s="227"/>
    </row>
    <row r="749">
      <c r="E749" s="227"/>
    </row>
    <row r="750">
      <c r="E750" s="227"/>
    </row>
    <row r="751">
      <c r="E751" s="227"/>
    </row>
    <row r="752">
      <c r="E752" s="227"/>
    </row>
    <row r="753">
      <c r="E753" s="227"/>
    </row>
    <row r="754">
      <c r="E754" s="227"/>
    </row>
    <row r="755">
      <c r="E755" s="227"/>
    </row>
    <row r="756">
      <c r="E756" s="227"/>
    </row>
    <row r="757">
      <c r="E757" s="227"/>
    </row>
    <row r="758">
      <c r="E758" s="227"/>
    </row>
    <row r="759">
      <c r="E759" s="227"/>
    </row>
    <row r="760">
      <c r="E760" s="227"/>
    </row>
    <row r="761">
      <c r="E761" s="227"/>
    </row>
    <row r="762">
      <c r="E762" s="227"/>
    </row>
    <row r="763">
      <c r="E763" s="227"/>
    </row>
    <row r="764">
      <c r="E764" s="227"/>
    </row>
    <row r="765">
      <c r="E765" s="227"/>
    </row>
    <row r="766">
      <c r="E766" s="227"/>
    </row>
    <row r="767">
      <c r="E767" s="227"/>
    </row>
    <row r="768">
      <c r="E768" s="227"/>
    </row>
    <row r="769">
      <c r="E769" s="227"/>
    </row>
    <row r="770">
      <c r="E770" s="227"/>
    </row>
    <row r="771">
      <c r="E771" s="227"/>
    </row>
    <row r="772">
      <c r="E772" s="227"/>
    </row>
    <row r="773">
      <c r="E773" s="227"/>
    </row>
    <row r="774">
      <c r="E774" s="227"/>
    </row>
    <row r="775">
      <c r="E775" s="227"/>
    </row>
    <row r="776">
      <c r="E776" s="227"/>
    </row>
    <row r="777">
      <c r="E777" s="227"/>
    </row>
    <row r="778">
      <c r="E778" s="227"/>
    </row>
    <row r="779">
      <c r="E779" s="227"/>
    </row>
    <row r="780">
      <c r="E780" s="227"/>
    </row>
    <row r="781">
      <c r="E781" s="227"/>
    </row>
    <row r="782">
      <c r="E782" s="227"/>
    </row>
    <row r="783">
      <c r="E783" s="227"/>
    </row>
    <row r="784">
      <c r="E784" s="227"/>
    </row>
    <row r="785">
      <c r="E785" s="227"/>
    </row>
    <row r="786">
      <c r="E786" s="227"/>
    </row>
    <row r="787">
      <c r="E787" s="227"/>
    </row>
    <row r="788">
      <c r="E788" s="227"/>
    </row>
    <row r="789">
      <c r="E789" s="227"/>
    </row>
    <row r="790">
      <c r="E790" s="227"/>
    </row>
    <row r="791">
      <c r="E791" s="227"/>
    </row>
    <row r="792">
      <c r="E792" s="227"/>
    </row>
    <row r="793">
      <c r="E793" s="227"/>
    </row>
    <row r="794">
      <c r="E794" s="227"/>
    </row>
    <row r="795">
      <c r="E795" s="227"/>
    </row>
    <row r="796">
      <c r="E796" s="227"/>
    </row>
    <row r="797">
      <c r="E797" s="227"/>
    </row>
    <row r="798">
      <c r="E798" s="227"/>
    </row>
    <row r="799">
      <c r="E799" s="227"/>
    </row>
    <row r="800">
      <c r="E800" s="227"/>
    </row>
    <row r="801">
      <c r="E801" s="227"/>
    </row>
    <row r="802">
      <c r="E802" s="227"/>
    </row>
    <row r="803">
      <c r="E803" s="227"/>
    </row>
    <row r="804">
      <c r="E804" s="227"/>
    </row>
    <row r="805">
      <c r="E805" s="227"/>
    </row>
    <row r="806">
      <c r="E806" s="227"/>
    </row>
    <row r="807">
      <c r="E807" s="227"/>
    </row>
    <row r="808">
      <c r="E808" s="227"/>
    </row>
    <row r="809">
      <c r="E809" s="227"/>
    </row>
    <row r="810">
      <c r="E810" s="227"/>
    </row>
    <row r="811">
      <c r="E811" s="227"/>
    </row>
    <row r="812">
      <c r="E812" s="227"/>
    </row>
    <row r="813">
      <c r="E813" s="227"/>
    </row>
    <row r="814">
      <c r="E814" s="227"/>
    </row>
    <row r="815">
      <c r="E815" s="227"/>
    </row>
    <row r="816">
      <c r="E816" s="227"/>
    </row>
    <row r="817">
      <c r="E817" s="227"/>
    </row>
    <row r="818">
      <c r="E818" s="227"/>
    </row>
    <row r="819">
      <c r="E819" s="227"/>
    </row>
    <row r="820">
      <c r="E820" s="227"/>
    </row>
    <row r="821">
      <c r="E821" s="227"/>
    </row>
    <row r="822">
      <c r="E822" s="227"/>
    </row>
    <row r="823">
      <c r="E823" s="227"/>
    </row>
    <row r="824">
      <c r="E824" s="227"/>
    </row>
    <row r="825">
      <c r="E825" s="227"/>
    </row>
    <row r="826">
      <c r="E826" s="227"/>
    </row>
    <row r="827">
      <c r="E827" s="227"/>
    </row>
    <row r="828">
      <c r="E828" s="227"/>
    </row>
    <row r="829">
      <c r="E829" s="227"/>
    </row>
    <row r="830">
      <c r="E830" s="227"/>
    </row>
    <row r="831">
      <c r="E831" s="227"/>
    </row>
    <row r="832">
      <c r="E832" s="227"/>
    </row>
    <row r="833">
      <c r="E833" s="227"/>
    </row>
    <row r="834">
      <c r="E834" s="227"/>
    </row>
    <row r="835">
      <c r="E835" s="227"/>
    </row>
    <row r="836">
      <c r="E836" s="227"/>
    </row>
    <row r="837">
      <c r="E837" s="227"/>
    </row>
    <row r="838">
      <c r="E838" s="227"/>
    </row>
    <row r="839">
      <c r="E839" s="227"/>
    </row>
    <row r="840">
      <c r="E840" s="227"/>
    </row>
    <row r="841">
      <c r="E841" s="227"/>
    </row>
    <row r="842">
      <c r="E842" s="227"/>
    </row>
    <row r="843">
      <c r="E843" s="227"/>
    </row>
    <row r="844">
      <c r="E844" s="227"/>
    </row>
    <row r="845">
      <c r="E845" s="227"/>
    </row>
    <row r="846">
      <c r="E846" s="227"/>
    </row>
    <row r="847">
      <c r="E847" s="227"/>
    </row>
    <row r="848">
      <c r="E848" s="227"/>
    </row>
    <row r="849">
      <c r="E849" s="227"/>
    </row>
    <row r="850">
      <c r="E850" s="227"/>
    </row>
    <row r="851">
      <c r="E851" s="227"/>
    </row>
    <row r="852">
      <c r="E852" s="227"/>
    </row>
    <row r="853">
      <c r="E853" s="227"/>
    </row>
    <row r="854">
      <c r="E854" s="227"/>
    </row>
    <row r="855">
      <c r="E855" s="227"/>
    </row>
    <row r="856">
      <c r="E856" s="227"/>
    </row>
    <row r="857">
      <c r="E857" s="227"/>
    </row>
    <row r="858">
      <c r="E858" s="227"/>
    </row>
    <row r="859">
      <c r="E859" s="227"/>
    </row>
    <row r="860">
      <c r="E860" s="227"/>
    </row>
    <row r="861">
      <c r="E861" s="227"/>
    </row>
    <row r="862">
      <c r="E862" s="227"/>
    </row>
    <row r="863">
      <c r="E863" s="227"/>
    </row>
    <row r="864">
      <c r="E864" s="227"/>
    </row>
    <row r="865">
      <c r="E865" s="227"/>
    </row>
    <row r="866">
      <c r="E866" s="227"/>
    </row>
    <row r="867">
      <c r="E867" s="227"/>
    </row>
    <row r="868">
      <c r="E868" s="227"/>
    </row>
    <row r="869">
      <c r="E869" s="227"/>
    </row>
    <row r="870">
      <c r="E870" s="227"/>
    </row>
    <row r="871">
      <c r="E871" s="227"/>
    </row>
    <row r="872">
      <c r="E872" s="227"/>
    </row>
    <row r="873">
      <c r="E873" s="227"/>
    </row>
    <row r="874">
      <c r="E874" s="227"/>
    </row>
    <row r="875">
      <c r="E875" s="227"/>
    </row>
    <row r="876">
      <c r="E876" s="227"/>
    </row>
    <row r="877">
      <c r="E877" s="227"/>
    </row>
    <row r="878">
      <c r="E878" s="227"/>
    </row>
    <row r="879">
      <c r="E879" s="227"/>
    </row>
    <row r="880">
      <c r="E880" s="227"/>
    </row>
    <row r="881">
      <c r="E881" s="227"/>
    </row>
    <row r="882">
      <c r="E882" s="227"/>
    </row>
    <row r="883">
      <c r="E883" s="227"/>
    </row>
    <row r="884">
      <c r="E884" s="227"/>
    </row>
    <row r="885">
      <c r="E885" s="227"/>
    </row>
    <row r="886">
      <c r="E886" s="227"/>
    </row>
    <row r="887">
      <c r="E887" s="227"/>
    </row>
    <row r="888">
      <c r="E888" s="227"/>
    </row>
    <row r="889">
      <c r="E889" s="227"/>
    </row>
    <row r="890">
      <c r="E890" s="227"/>
    </row>
    <row r="891">
      <c r="E891" s="227"/>
    </row>
    <row r="892">
      <c r="E892" s="227"/>
    </row>
    <row r="893">
      <c r="E893" s="227"/>
    </row>
    <row r="894">
      <c r="E894" s="227"/>
    </row>
    <row r="895">
      <c r="E895" s="227"/>
    </row>
    <row r="896">
      <c r="E896" s="227"/>
    </row>
    <row r="897">
      <c r="E897" s="227"/>
    </row>
    <row r="898">
      <c r="E898" s="227"/>
    </row>
    <row r="899">
      <c r="E899" s="227"/>
    </row>
    <row r="900">
      <c r="E900" s="227"/>
    </row>
    <row r="901">
      <c r="E901" s="227"/>
    </row>
    <row r="902">
      <c r="E902" s="227"/>
    </row>
    <row r="903">
      <c r="E903" s="227"/>
    </row>
    <row r="904">
      <c r="E904" s="227"/>
    </row>
    <row r="905">
      <c r="E905" s="227"/>
    </row>
    <row r="906">
      <c r="E906" s="227"/>
    </row>
    <row r="907">
      <c r="E907" s="227"/>
    </row>
    <row r="908">
      <c r="E908" s="227"/>
    </row>
    <row r="909">
      <c r="E909" s="227"/>
    </row>
    <row r="910">
      <c r="E910" s="227"/>
    </row>
    <row r="911">
      <c r="E911" s="227"/>
    </row>
    <row r="912">
      <c r="E912" s="227"/>
    </row>
    <row r="913">
      <c r="E913" s="227"/>
    </row>
    <row r="914">
      <c r="E914" s="227"/>
    </row>
    <row r="915">
      <c r="E915" s="227"/>
    </row>
    <row r="916">
      <c r="E916" s="227"/>
    </row>
    <row r="917">
      <c r="E917" s="227"/>
    </row>
    <row r="918">
      <c r="E918" s="227"/>
    </row>
    <row r="919">
      <c r="E919" s="227"/>
    </row>
    <row r="920">
      <c r="E920" s="227"/>
    </row>
    <row r="921">
      <c r="E921" s="227"/>
    </row>
    <row r="922">
      <c r="E922" s="227"/>
    </row>
    <row r="923">
      <c r="E923" s="227"/>
    </row>
    <row r="924">
      <c r="E924" s="227"/>
    </row>
    <row r="925">
      <c r="E925" s="227"/>
    </row>
    <row r="926">
      <c r="E926" s="227"/>
    </row>
    <row r="927">
      <c r="E927" s="227"/>
    </row>
    <row r="928">
      <c r="E928" s="227"/>
    </row>
    <row r="929">
      <c r="E929" s="227"/>
    </row>
    <row r="930">
      <c r="E930" s="227"/>
    </row>
    <row r="931">
      <c r="E931" s="227"/>
    </row>
    <row r="932">
      <c r="E932" s="227"/>
    </row>
    <row r="933">
      <c r="E933" s="227"/>
    </row>
    <row r="934">
      <c r="E934" s="227"/>
    </row>
    <row r="935">
      <c r="E935" s="227"/>
    </row>
    <row r="936">
      <c r="E936" s="227"/>
    </row>
    <row r="937">
      <c r="E937" s="227"/>
    </row>
    <row r="938">
      <c r="E938" s="227"/>
    </row>
    <row r="939">
      <c r="E939" s="227"/>
    </row>
    <row r="940">
      <c r="E940" s="227"/>
    </row>
    <row r="941">
      <c r="E941" s="227"/>
    </row>
    <row r="942">
      <c r="E942" s="227"/>
    </row>
    <row r="943">
      <c r="E943" s="227"/>
    </row>
    <row r="944">
      <c r="E944" s="227"/>
    </row>
    <row r="945">
      <c r="E945" s="227"/>
    </row>
    <row r="946">
      <c r="E946" s="227"/>
    </row>
    <row r="947">
      <c r="E947" s="227"/>
    </row>
    <row r="948">
      <c r="E948" s="227"/>
    </row>
    <row r="949">
      <c r="E949" s="227"/>
    </row>
    <row r="950">
      <c r="E950" s="227"/>
    </row>
    <row r="951">
      <c r="E951" s="227"/>
    </row>
    <row r="952">
      <c r="E952" s="227"/>
    </row>
    <row r="953">
      <c r="E953" s="227"/>
    </row>
    <row r="954">
      <c r="E954" s="227"/>
    </row>
    <row r="955">
      <c r="E955" s="227"/>
    </row>
    <row r="956">
      <c r="E956" s="227"/>
    </row>
    <row r="957">
      <c r="E957" s="227"/>
    </row>
    <row r="958">
      <c r="E958" s="227"/>
    </row>
    <row r="959">
      <c r="E959" s="227"/>
    </row>
    <row r="960">
      <c r="E960" s="227"/>
    </row>
    <row r="961">
      <c r="E961" s="227"/>
    </row>
    <row r="962">
      <c r="E962" s="227"/>
    </row>
    <row r="963">
      <c r="E963" s="227"/>
    </row>
    <row r="964">
      <c r="E964" s="227"/>
    </row>
    <row r="965">
      <c r="E965" s="227"/>
    </row>
    <row r="966">
      <c r="E966" s="227"/>
    </row>
    <row r="967">
      <c r="E967" s="227"/>
    </row>
    <row r="968">
      <c r="E968" s="227"/>
    </row>
    <row r="969">
      <c r="E969" s="227"/>
    </row>
    <row r="970">
      <c r="E970" s="227"/>
    </row>
    <row r="971">
      <c r="E971" s="227"/>
    </row>
    <row r="972">
      <c r="E972" s="227"/>
    </row>
    <row r="973">
      <c r="E973" s="227"/>
    </row>
    <row r="974">
      <c r="E974" s="227"/>
    </row>
    <row r="975">
      <c r="E975" s="227"/>
    </row>
    <row r="976">
      <c r="E976" s="227"/>
    </row>
    <row r="977">
      <c r="E977" s="227"/>
    </row>
    <row r="978">
      <c r="E978" s="227"/>
    </row>
    <row r="979">
      <c r="E979" s="227"/>
    </row>
    <row r="980">
      <c r="E980" s="227"/>
    </row>
    <row r="981">
      <c r="E981" s="227"/>
    </row>
    <row r="982">
      <c r="E982" s="227"/>
    </row>
    <row r="983">
      <c r="E983" s="227"/>
    </row>
    <row r="984">
      <c r="E984" s="227"/>
    </row>
    <row r="985">
      <c r="E985" s="227"/>
    </row>
    <row r="986">
      <c r="E986" s="227"/>
    </row>
    <row r="987">
      <c r="E987" s="227"/>
    </row>
    <row r="988">
      <c r="E988" s="227"/>
    </row>
    <row r="989">
      <c r="E989" s="227"/>
    </row>
    <row r="990">
      <c r="E990" s="227"/>
    </row>
    <row r="991">
      <c r="E991" s="227"/>
    </row>
    <row r="992">
      <c r="E992" s="227"/>
    </row>
    <row r="993">
      <c r="E993" s="227"/>
    </row>
    <row r="994">
      <c r="E994" s="227"/>
    </row>
    <row r="995">
      <c r="E995" s="227"/>
    </row>
    <row r="996">
      <c r="E996" s="227"/>
    </row>
    <row r="997">
      <c r="E997" s="227"/>
    </row>
    <row r="998">
      <c r="E998" s="227"/>
    </row>
    <row r="999">
      <c r="E999" s="227"/>
    </row>
    <row r="1000">
      <c r="E1000" s="227"/>
    </row>
  </sheetData>
  <mergeCells count="34">
    <mergeCell ref="A1:K1"/>
    <mergeCell ref="D3:H3"/>
    <mergeCell ref="D4:G4"/>
    <mergeCell ref="D5:G5"/>
    <mergeCell ref="D6:G6"/>
    <mergeCell ref="D7:G7"/>
    <mergeCell ref="D8:G8"/>
    <mergeCell ref="D9:G9"/>
    <mergeCell ref="B11:K11"/>
    <mergeCell ref="B13:C13"/>
    <mergeCell ref="E13:K13"/>
    <mergeCell ref="F14:H14"/>
    <mergeCell ref="I14:K14"/>
    <mergeCell ref="E23:G23"/>
    <mergeCell ref="B25:C25"/>
    <mergeCell ref="E25:K25"/>
    <mergeCell ref="F26:H26"/>
    <mergeCell ref="I26:K26"/>
    <mergeCell ref="E31:G31"/>
    <mergeCell ref="B33:C33"/>
    <mergeCell ref="E33:K33"/>
    <mergeCell ref="E57:G57"/>
    <mergeCell ref="B60:C60"/>
    <mergeCell ref="E60:K60"/>
    <mergeCell ref="F61:H61"/>
    <mergeCell ref="I61:K61"/>
    <mergeCell ref="E72:G72"/>
    <mergeCell ref="F34:H34"/>
    <mergeCell ref="I34:K34"/>
    <mergeCell ref="E43:G43"/>
    <mergeCell ref="B45:C45"/>
    <mergeCell ref="E45:K45"/>
    <mergeCell ref="F46:H46"/>
    <mergeCell ref="I46:K46"/>
  </mergeCells>
  <printOptions/>
  <pageMargins bottom="0.75" footer="0.0" header="0.0" left="0.7" right="0.7" top="0.75"/>
  <pageSetup paperSize="9" orientation="portrait"/>
  <headerFooter>
    <oddFooter>&amp;L &amp;CPágina &amp;R&amp;P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06666"/>
    <pageSetUpPr fitToPage="1"/>
  </sheetPr>
  <sheetViews>
    <sheetView workbookViewId="0"/>
  </sheetViews>
  <sheetFormatPr customHeight="1" defaultColWidth="12.63" defaultRowHeight="15.0"/>
  <cols>
    <col customWidth="1" min="1" max="12" width="14.38"/>
    <col customWidth="1" min="13" max="26" width="8.75"/>
  </cols>
  <sheetData>
    <row r="1" ht="12.75" customHeight="1">
      <c r="A1" s="237"/>
      <c r="B1" s="2"/>
      <c r="C1" s="2"/>
      <c r="D1" s="2"/>
      <c r="E1" s="2"/>
      <c r="F1" s="2"/>
      <c r="G1" s="2"/>
      <c r="H1" s="2"/>
      <c r="I1" s="2"/>
      <c r="J1" s="2"/>
    </row>
    <row r="2" ht="12.75" customHeight="1">
      <c r="A2" s="7"/>
      <c r="B2" s="7"/>
      <c r="C2" s="7"/>
      <c r="D2" s="7"/>
      <c r="E2" s="7"/>
      <c r="F2" s="7"/>
      <c r="G2" s="7"/>
      <c r="H2" s="7"/>
      <c r="I2" s="7"/>
      <c r="J2" s="7"/>
    </row>
    <row r="3" ht="15.0" customHeight="1">
      <c r="A3" s="6"/>
      <c r="B3" s="238"/>
      <c r="C3" s="12"/>
      <c r="D3" s="239" t="s">
        <v>0</v>
      </c>
      <c r="E3" s="14"/>
      <c r="F3" s="14"/>
      <c r="G3" s="14"/>
      <c r="H3" s="15"/>
      <c r="I3" s="23"/>
      <c r="J3" s="4"/>
    </row>
    <row r="4" ht="15.0" customHeight="1">
      <c r="B4" s="17"/>
      <c r="C4" s="18"/>
      <c r="D4" s="240" t="s">
        <v>1</v>
      </c>
      <c r="E4" s="241"/>
      <c r="F4" s="241"/>
      <c r="G4" s="26"/>
      <c r="H4" s="242"/>
      <c r="I4" s="20"/>
      <c r="J4" s="4"/>
    </row>
    <row r="5" ht="15.0" customHeight="1">
      <c r="B5" s="17"/>
      <c r="C5" s="18"/>
      <c r="D5" s="243" t="s">
        <v>3</v>
      </c>
      <c r="E5" s="241"/>
      <c r="F5" s="241"/>
      <c r="G5" s="26"/>
      <c r="H5" s="244"/>
      <c r="I5" s="23"/>
      <c r="J5" s="4"/>
    </row>
    <row r="6" ht="15.0" customHeight="1">
      <c r="B6" s="17"/>
      <c r="C6" s="18"/>
      <c r="D6" s="240" t="s">
        <v>5</v>
      </c>
      <c r="E6" s="241"/>
      <c r="F6" s="241"/>
      <c r="G6" s="26"/>
      <c r="H6" s="242"/>
      <c r="I6" s="20"/>
      <c r="J6" s="245"/>
    </row>
    <row r="7" ht="15.0" customHeight="1">
      <c r="B7" s="17"/>
      <c r="C7" s="18"/>
      <c r="D7" s="240" t="s">
        <v>6</v>
      </c>
      <c r="E7" s="241"/>
      <c r="F7" s="241"/>
      <c r="G7" s="26"/>
      <c r="H7" s="242"/>
      <c r="I7" s="20"/>
      <c r="J7" s="245"/>
    </row>
    <row r="8">
      <c r="B8" s="17"/>
      <c r="C8" s="18"/>
      <c r="D8" s="240" t="s">
        <v>8</v>
      </c>
      <c r="E8" s="241"/>
      <c r="F8" s="241"/>
      <c r="G8" s="26"/>
      <c r="H8" s="242"/>
      <c r="I8" s="20"/>
      <c r="J8" s="4"/>
    </row>
    <row r="9">
      <c r="B9" s="25"/>
      <c r="C9" s="26"/>
      <c r="D9" s="246" t="s">
        <v>10</v>
      </c>
      <c r="E9" s="241"/>
      <c r="F9" s="241"/>
      <c r="G9" s="26"/>
      <c r="H9" s="242"/>
      <c r="I9" s="20"/>
      <c r="J9" s="4"/>
    </row>
    <row r="10" ht="12.75" customHeight="1">
      <c r="A10" s="247"/>
      <c r="B10" s="247"/>
      <c r="C10" s="247"/>
      <c r="D10" s="247"/>
      <c r="E10" s="247"/>
      <c r="F10" s="247"/>
      <c r="G10" s="247"/>
      <c r="H10" s="247"/>
      <c r="I10" s="247"/>
      <c r="J10" s="247"/>
    </row>
    <row r="11">
      <c r="A11" s="248" t="s">
        <v>848</v>
      </c>
      <c r="B11" s="2"/>
      <c r="C11" s="2"/>
      <c r="D11" s="2"/>
      <c r="E11" s="2"/>
      <c r="F11" s="2"/>
      <c r="G11" s="2"/>
      <c r="H11" s="2"/>
      <c r="I11" s="2"/>
      <c r="J11" s="2"/>
    </row>
    <row r="12" ht="12.75" customHeight="1">
      <c r="A12" s="245"/>
      <c r="B12" s="245"/>
      <c r="C12" s="245"/>
      <c r="D12" s="245"/>
      <c r="E12" s="245"/>
      <c r="F12" s="245"/>
      <c r="G12" s="245"/>
      <c r="H12" s="245"/>
      <c r="I12" s="245"/>
      <c r="J12" s="245"/>
    </row>
    <row r="13" ht="12.75" customHeight="1">
      <c r="A13" s="249">
        <v>1.0</v>
      </c>
      <c r="B13" s="250" t="s">
        <v>849</v>
      </c>
      <c r="C13" s="34"/>
      <c r="D13" s="34"/>
      <c r="E13" s="34"/>
      <c r="F13" s="34"/>
      <c r="G13" s="34"/>
      <c r="H13" s="34"/>
      <c r="I13" s="34"/>
      <c r="J13" s="35"/>
      <c r="K13" s="251">
        <v>44707.0</v>
      </c>
    </row>
    <row r="14" ht="12.75" customHeight="1">
      <c r="A14" s="252" t="s">
        <v>850</v>
      </c>
      <c r="B14" s="253" t="s">
        <v>851</v>
      </c>
      <c r="C14" s="34"/>
      <c r="D14" s="35"/>
      <c r="E14" s="253" t="s">
        <v>852</v>
      </c>
      <c r="F14" s="34"/>
      <c r="G14" s="35"/>
      <c r="H14" s="253" t="s">
        <v>853</v>
      </c>
      <c r="I14" s="34"/>
      <c r="J14" s="35"/>
      <c r="K14" s="233"/>
    </row>
    <row r="15" ht="12.75" customHeight="1">
      <c r="A15" s="252" t="s">
        <v>854</v>
      </c>
      <c r="B15" s="254" t="s">
        <v>855</v>
      </c>
      <c r="C15" s="34"/>
      <c r="D15" s="35"/>
      <c r="E15" s="254" t="s">
        <v>856</v>
      </c>
      <c r="F15" s="34"/>
      <c r="G15" s="35"/>
      <c r="H15" s="255" t="s">
        <v>857</v>
      </c>
      <c r="I15" s="34"/>
      <c r="J15" s="35"/>
      <c r="K15" s="233"/>
    </row>
    <row r="16" ht="12.75" customHeight="1">
      <c r="A16" s="252" t="s">
        <v>858</v>
      </c>
      <c r="B16" s="254" t="s">
        <v>859</v>
      </c>
      <c r="C16" s="34"/>
      <c r="D16" s="35"/>
      <c r="E16" s="254" t="s">
        <v>860</v>
      </c>
      <c r="F16" s="34"/>
      <c r="G16" s="35"/>
      <c r="H16" s="254" t="s">
        <v>861</v>
      </c>
      <c r="I16" s="34"/>
      <c r="J16" s="35"/>
      <c r="K16" s="233"/>
    </row>
    <row r="17" ht="12.75" customHeight="1">
      <c r="A17" s="252" t="s">
        <v>862</v>
      </c>
      <c r="B17" s="256">
        <v>13120.0</v>
      </c>
      <c r="C17" s="34"/>
      <c r="D17" s="35"/>
      <c r="E17" s="256">
        <v>14720.0</v>
      </c>
      <c r="F17" s="34"/>
      <c r="G17" s="35"/>
      <c r="H17" s="256">
        <v>15900.0</v>
      </c>
      <c r="I17" s="34"/>
      <c r="J17" s="35"/>
      <c r="K17" s="233"/>
    </row>
    <row r="18">
      <c r="A18" s="252" t="s">
        <v>863</v>
      </c>
      <c r="B18" s="257">
        <f>(B17+E17+H17)/(COUNT(B17:J17))</f>
        <v>14580</v>
      </c>
      <c r="C18" s="34"/>
      <c r="D18" s="34"/>
      <c r="E18" s="34"/>
      <c r="F18" s="34"/>
      <c r="G18" s="34"/>
      <c r="H18" s="34"/>
      <c r="I18" s="34"/>
      <c r="J18" s="35"/>
      <c r="K18" s="233"/>
    </row>
    <row r="19" ht="12.75" customHeight="1">
      <c r="A19" s="245"/>
      <c r="B19" s="245"/>
      <c r="C19" s="245"/>
      <c r="D19" s="245"/>
      <c r="E19" s="245"/>
      <c r="F19" s="245"/>
      <c r="G19" s="245"/>
      <c r="H19" s="245"/>
      <c r="I19" s="245"/>
      <c r="J19" s="245"/>
      <c r="K19" s="233"/>
    </row>
    <row r="20" ht="12.75" customHeight="1">
      <c r="A20" s="249">
        <v>2.0</v>
      </c>
      <c r="B20" s="258" t="s">
        <v>708</v>
      </c>
      <c r="C20" s="34"/>
      <c r="D20" s="34"/>
      <c r="E20" s="34"/>
      <c r="F20" s="34"/>
      <c r="G20" s="34"/>
      <c r="H20" s="34"/>
      <c r="I20" s="34"/>
      <c r="J20" s="35"/>
      <c r="K20" s="251">
        <v>44753.0</v>
      </c>
    </row>
    <row r="21" ht="12.75" customHeight="1">
      <c r="A21" s="252" t="s">
        <v>850</v>
      </c>
      <c r="B21" s="253" t="s">
        <v>851</v>
      </c>
      <c r="C21" s="34"/>
      <c r="D21" s="35"/>
      <c r="E21" s="253" t="s">
        <v>852</v>
      </c>
      <c r="F21" s="34"/>
      <c r="G21" s="35"/>
      <c r="H21" s="253" t="s">
        <v>853</v>
      </c>
      <c r="I21" s="34"/>
      <c r="J21" s="35"/>
      <c r="K21" s="233"/>
      <c r="L21" s="259"/>
    </row>
    <row r="22">
      <c r="A22" s="252" t="s">
        <v>854</v>
      </c>
      <c r="B22" s="260" t="s">
        <v>864</v>
      </c>
      <c r="C22" s="34"/>
      <c r="D22" s="35"/>
      <c r="E22" s="260" t="s">
        <v>865</v>
      </c>
      <c r="F22" s="34"/>
      <c r="G22" s="35"/>
      <c r="H22" s="261" t="s">
        <v>866</v>
      </c>
      <c r="I22" s="34"/>
      <c r="J22" s="35"/>
      <c r="K22" s="233"/>
      <c r="L22" s="259"/>
    </row>
    <row r="23" ht="12.75" customHeight="1">
      <c r="A23" s="252" t="s">
        <v>858</v>
      </c>
      <c r="B23" s="254" t="s">
        <v>867</v>
      </c>
      <c r="C23" s="34"/>
      <c r="D23" s="35"/>
      <c r="E23" s="254" t="s">
        <v>868</v>
      </c>
      <c r="F23" s="34"/>
      <c r="G23" s="35"/>
      <c r="H23" s="254" t="s">
        <v>869</v>
      </c>
      <c r="I23" s="34"/>
      <c r="J23" s="35"/>
      <c r="K23" s="233"/>
    </row>
    <row r="24" ht="12.75" customHeight="1">
      <c r="A24" s="252" t="s">
        <v>862</v>
      </c>
      <c r="B24" s="256">
        <v>3480.0</v>
      </c>
      <c r="C24" s="34"/>
      <c r="D24" s="35"/>
      <c r="E24" s="256">
        <v>2476.56</v>
      </c>
      <c r="F24" s="34"/>
      <c r="G24" s="35"/>
      <c r="H24" s="256">
        <v>3239.1</v>
      </c>
      <c r="I24" s="34"/>
      <c r="J24" s="35"/>
      <c r="K24" s="233"/>
    </row>
    <row r="25">
      <c r="A25" s="252" t="s">
        <v>863</v>
      </c>
      <c r="B25" s="257">
        <f>(B24+E24+H24)/(COUNT(B24:J24))</f>
        <v>3065.22</v>
      </c>
      <c r="C25" s="34"/>
      <c r="D25" s="34"/>
      <c r="E25" s="34"/>
      <c r="F25" s="34"/>
      <c r="G25" s="34"/>
      <c r="H25" s="34"/>
      <c r="I25" s="34"/>
      <c r="J25" s="35"/>
      <c r="K25" s="233"/>
    </row>
    <row r="26" ht="12.75" customHeight="1">
      <c r="A26" s="245"/>
      <c r="B26" s="245"/>
      <c r="C26" s="245"/>
      <c r="D26" s="245"/>
      <c r="E26" s="245"/>
      <c r="F26" s="245"/>
      <c r="G26" s="245"/>
      <c r="H26" s="245"/>
      <c r="I26" s="245"/>
      <c r="J26" s="245"/>
    </row>
    <row r="27" ht="12.75" customHeight="1">
      <c r="A27" s="249">
        <v>3.0</v>
      </c>
      <c r="B27" s="262" t="s">
        <v>870</v>
      </c>
      <c r="C27" s="34"/>
      <c r="D27" s="34"/>
      <c r="E27" s="34"/>
      <c r="F27" s="34"/>
      <c r="G27" s="34"/>
      <c r="H27" s="34"/>
      <c r="I27" s="34"/>
      <c r="J27" s="35"/>
      <c r="K27" s="263">
        <v>44753.0</v>
      </c>
    </row>
    <row r="28" ht="12.75" customHeight="1">
      <c r="A28" s="252" t="s">
        <v>850</v>
      </c>
      <c r="B28" s="253" t="s">
        <v>851</v>
      </c>
      <c r="C28" s="34"/>
      <c r="D28" s="35"/>
      <c r="E28" s="253" t="s">
        <v>852</v>
      </c>
      <c r="F28" s="34"/>
      <c r="G28" s="35"/>
      <c r="H28" s="253" t="s">
        <v>853</v>
      </c>
      <c r="I28" s="34"/>
      <c r="J28" s="35"/>
    </row>
    <row r="29" ht="12.75" customHeight="1">
      <c r="A29" s="252" t="s">
        <v>854</v>
      </c>
      <c r="B29" s="254" t="s">
        <v>857</v>
      </c>
      <c r="C29" s="34"/>
      <c r="D29" s="35"/>
      <c r="E29" s="254" t="s">
        <v>871</v>
      </c>
      <c r="F29" s="34"/>
      <c r="G29" s="35"/>
      <c r="H29" s="254" t="s">
        <v>872</v>
      </c>
      <c r="I29" s="34"/>
      <c r="J29" s="35"/>
    </row>
    <row r="30" ht="12.75" customHeight="1">
      <c r="A30" s="252" t="s">
        <v>858</v>
      </c>
      <c r="B30" s="254" t="s">
        <v>861</v>
      </c>
      <c r="C30" s="34"/>
      <c r="D30" s="35"/>
      <c r="E30" s="254" t="s">
        <v>873</v>
      </c>
      <c r="F30" s="34"/>
      <c r="G30" s="35"/>
      <c r="H30" s="254" t="s">
        <v>874</v>
      </c>
      <c r="I30" s="34"/>
      <c r="J30" s="35"/>
    </row>
    <row r="31" ht="12.75" customHeight="1">
      <c r="A31" s="252" t="s">
        <v>875</v>
      </c>
      <c r="B31" s="256">
        <v>69900.0</v>
      </c>
      <c r="C31" s="34"/>
      <c r="D31" s="35"/>
      <c r="E31" s="256">
        <v>49700.0</v>
      </c>
      <c r="F31" s="34"/>
      <c r="G31" s="35"/>
      <c r="H31" s="256">
        <v>45985.0</v>
      </c>
      <c r="I31" s="34"/>
      <c r="J31" s="35"/>
    </row>
    <row r="32">
      <c r="A32" s="252" t="s">
        <v>863</v>
      </c>
      <c r="B32" s="257">
        <f>(B31+E31+H31)/(COUNT(B31:J31))</f>
        <v>55195</v>
      </c>
      <c r="C32" s="34"/>
      <c r="D32" s="34"/>
      <c r="E32" s="34"/>
      <c r="F32" s="34"/>
      <c r="G32" s="34"/>
      <c r="H32" s="34"/>
      <c r="I32" s="34"/>
      <c r="J32" s="35"/>
    </row>
    <row r="33" ht="12.75" customHeight="1">
      <c r="A33" s="245"/>
      <c r="B33" s="245"/>
      <c r="C33" s="245"/>
      <c r="D33" s="245"/>
      <c r="E33" s="245"/>
      <c r="F33" s="245"/>
      <c r="G33" s="245"/>
      <c r="H33" s="245"/>
      <c r="I33" s="245"/>
      <c r="J33" s="245"/>
    </row>
    <row r="34" ht="12.75" customHeight="1">
      <c r="A34" s="249">
        <v>3.0</v>
      </c>
      <c r="B34" s="258" t="s">
        <v>876</v>
      </c>
      <c r="C34" s="34"/>
      <c r="D34" s="34"/>
      <c r="E34" s="34"/>
      <c r="F34" s="34"/>
      <c r="G34" s="34"/>
      <c r="H34" s="34"/>
      <c r="I34" s="34"/>
      <c r="J34" s="35"/>
      <c r="K34" s="251">
        <v>44753.0</v>
      </c>
    </row>
    <row r="35" ht="12.75" customHeight="1">
      <c r="A35" s="252" t="s">
        <v>850</v>
      </c>
      <c r="B35" s="253" t="s">
        <v>851</v>
      </c>
      <c r="C35" s="34"/>
      <c r="D35" s="35"/>
      <c r="E35" s="253" t="s">
        <v>852</v>
      </c>
      <c r="F35" s="34"/>
      <c r="G35" s="35"/>
      <c r="H35" s="253" t="s">
        <v>853</v>
      </c>
      <c r="I35" s="34"/>
      <c r="J35" s="35"/>
      <c r="K35" s="233"/>
      <c r="L35" s="259"/>
    </row>
    <row r="36">
      <c r="A36" s="264" t="s">
        <v>854</v>
      </c>
      <c r="B36" s="261" t="s">
        <v>877</v>
      </c>
      <c r="C36" s="34"/>
      <c r="D36" s="35"/>
      <c r="E36" s="261" t="s">
        <v>878</v>
      </c>
      <c r="F36" s="34"/>
      <c r="G36" s="35"/>
      <c r="H36" s="261" t="s">
        <v>879</v>
      </c>
      <c r="I36" s="34"/>
      <c r="J36" s="35"/>
      <c r="K36" s="265"/>
      <c r="L36" s="266"/>
      <c r="M36" s="224"/>
      <c r="N36" s="224"/>
      <c r="O36" s="224"/>
      <c r="P36" s="224"/>
      <c r="Q36" s="224"/>
      <c r="R36" s="224"/>
      <c r="S36" s="224"/>
      <c r="T36" s="224"/>
      <c r="U36" s="224"/>
      <c r="V36" s="224"/>
      <c r="W36" s="224"/>
      <c r="X36" s="224"/>
      <c r="Y36" s="224"/>
      <c r="Z36" s="224"/>
    </row>
    <row r="37" ht="12.75" customHeight="1">
      <c r="A37" s="252" t="s">
        <v>858</v>
      </c>
      <c r="B37" s="254" t="s">
        <v>880</v>
      </c>
      <c r="C37" s="34"/>
      <c r="D37" s="35"/>
      <c r="E37" s="254" t="s">
        <v>881</v>
      </c>
      <c r="F37" s="34"/>
      <c r="G37" s="35"/>
      <c r="H37" s="254" t="s">
        <v>882</v>
      </c>
      <c r="I37" s="34"/>
      <c r="J37" s="35"/>
      <c r="K37" s="233"/>
    </row>
    <row r="38" ht="12.75" customHeight="1">
      <c r="A38" s="252" t="s">
        <v>862</v>
      </c>
      <c r="B38" s="267">
        <v>172.44</v>
      </c>
      <c r="C38" s="34"/>
      <c r="D38" s="35"/>
      <c r="E38" s="256">
        <v>145.0</v>
      </c>
      <c r="F38" s="34"/>
      <c r="G38" s="35"/>
      <c r="H38" s="256">
        <v>194.9</v>
      </c>
      <c r="I38" s="34"/>
      <c r="J38" s="35"/>
      <c r="K38" s="233"/>
    </row>
    <row r="39">
      <c r="A39" s="252" t="s">
        <v>863</v>
      </c>
      <c r="B39" s="257">
        <f>(B38+E38+H38)/(COUNT(B38:J38))</f>
        <v>170.78</v>
      </c>
      <c r="C39" s="34"/>
      <c r="D39" s="34"/>
      <c r="E39" s="34"/>
      <c r="F39" s="34"/>
      <c r="G39" s="34"/>
      <c r="H39" s="34"/>
      <c r="I39" s="34"/>
      <c r="J39" s="35"/>
      <c r="K39" s="233"/>
    </row>
    <row r="40" ht="12.75" customHeight="1"/>
    <row r="41" ht="12.75" customHeight="1">
      <c r="A41" s="237"/>
      <c r="B41" s="2"/>
      <c r="C41" s="2"/>
      <c r="D41" s="2"/>
      <c r="E41" s="2"/>
      <c r="F41" s="2"/>
      <c r="G41" s="2"/>
      <c r="H41" s="2"/>
      <c r="I41" s="2"/>
      <c r="J41" s="2"/>
    </row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</sheetData>
  <mergeCells count="68">
    <mergeCell ref="B27:J27"/>
    <mergeCell ref="B28:D28"/>
    <mergeCell ref="E28:G28"/>
    <mergeCell ref="H28:J28"/>
    <mergeCell ref="B29:D29"/>
    <mergeCell ref="E29:G29"/>
    <mergeCell ref="H29:J29"/>
    <mergeCell ref="B30:D30"/>
    <mergeCell ref="E30:G30"/>
    <mergeCell ref="H30:J30"/>
    <mergeCell ref="B31:D31"/>
    <mergeCell ref="E31:G31"/>
    <mergeCell ref="H31:J31"/>
    <mergeCell ref="B32:J32"/>
    <mergeCell ref="B37:D37"/>
    <mergeCell ref="E37:G37"/>
    <mergeCell ref="H37:J37"/>
    <mergeCell ref="B38:D38"/>
    <mergeCell ref="E38:G38"/>
    <mergeCell ref="H38:J38"/>
    <mergeCell ref="B39:J39"/>
    <mergeCell ref="A41:J41"/>
    <mergeCell ref="B34:J34"/>
    <mergeCell ref="B35:D35"/>
    <mergeCell ref="E35:G35"/>
    <mergeCell ref="H35:J35"/>
    <mergeCell ref="B36:D36"/>
    <mergeCell ref="E36:G36"/>
    <mergeCell ref="H36:J36"/>
    <mergeCell ref="D7:G7"/>
    <mergeCell ref="D8:G8"/>
    <mergeCell ref="A1:J1"/>
    <mergeCell ref="A3:A9"/>
    <mergeCell ref="B3:C9"/>
    <mergeCell ref="D3:H3"/>
    <mergeCell ref="D4:G4"/>
    <mergeCell ref="D5:G5"/>
    <mergeCell ref="D6:G6"/>
    <mergeCell ref="E15:G15"/>
    <mergeCell ref="H15:J15"/>
    <mergeCell ref="D9:G9"/>
    <mergeCell ref="A11:J11"/>
    <mergeCell ref="B13:J13"/>
    <mergeCell ref="B14:D14"/>
    <mergeCell ref="E14:G14"/>
    <mergeCell ref="H14:J14"/>
    <mergeCell ref="B15:D15"/>
    <mergeCell ref="B16:D16"/>
    <mergeCell ref="E16:G16"/>
    <mergeCell ref="H16:J16"/>
    <mergeCell ref="B17:D17"/>
    <mergeCell ref="E17:G17"/>
    <mergeCell ref="H17:J17"/>
    <mergeCell ref="B18:J18"/>
    <mergeCell ref="B20:J20"/>
    <mergeCell ref="B21:D21"/>
    <mergeCell ref="E21:G21"/>
    <mergeCell ref="H21:J21"/>
    <mergeCell ref="B22:D22"/>
    <mergeCell ref="E22:G22"/>
    <mergeCell ref="H22:J22"/>
    <mergeCell ref="B23:D23"/>
    <mergeCell ref="E23:G23"/>
    <mergeCell ref="H23:J23"/>
    <mergeCell ref="B24:D24"/>
    <mergeCell ref="E24:G24"/>
    <mergeCell ref="H24:J24"/>
    <mergeCell ref="B25:J25"/>
  </mergeCells>
  <hyperlinks>
    <hyperlink r:id="rId1" ref="B22"/>
    <hyperlink r:id="rId2" ref="E22"/>
    <hyperlink r:id="rId3" ref="H22"/>
    <hyperlink r:id="rId4" location="info-section" ref="B36"/>
    <hyperlink r:id="rId5" ref="E36"/>
    <hyperlink r:id="rId6" ref="H36"/>
  </hyperlinks>
  <printOptions/>
  <pageMargins bottom="0.984027777777778" footer="0.0" header="0.0" left="0.747916666666667" right="0.747916666666667" top="0.984027777777778"/>
  <pageSetup fitToHeight="0" paperSize="9" orientation="portrait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64D79"/>
    <pageSetUpPr fitToPage="1"/>
  </sheetPr>
  <sheetViews>
    <sheetView workbookViewId="0"/>
  </sheetViews>
  <sheetFormatPr customHeight="1" defaultColWidth="12.63" defaultRowHeight="15.0"/>
  <cols>
    <col customWidth="1" min="1" max="1" width="6.38"/>
    <col customWidth="1" min="2" max="2" width="40.13"/>
    <col customWidth="1" min="3" max="3" width="10.75"/>
    <col customWidth="1" min="4" max="17" width="14.38"/>
    <col customWidth="1" min="18" max="26" width="8.75"/>
  </cols>
  <sheetData>
    <row r="1" ht="12.75" customHeight="1">
      <c r="A1" s="268"/>
      <c r="B1" s="269"/>
      <c r="C1" s="269"/>
      <c r="D1" s="269"/>
      <c r="E1" s="269"/>
      <c r="F1" s="269"/>
      <c r="G1" s="269"/>
      <c r="H1" s="269"/>
      <c r="I1" s="269"/>
      <c r="J1" s="269"/>
      <c r="K1" s="269"/>
      <c r="L1" s="269"/>
      <c r="M1" s="269"/>
      <c r="N1" s="269"/>
      <c r="O1" s="269"/>
      <c r="P1" s="269"/>
      <c r="Q1" s="269"/>
    </row>
    <row r="2" ht="12.75" customHeight="1">
      <c r="A2" s="270"/>
      <c r="B2" s="271"/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271"/>
      <c r="N2" s="271"/>
      <c r="O2" s="271"/>
      <c r="P2" s="271"/>
      <c r="Q2" s="4"/>
    </row>
    <row r="3" ht="15.75" customHeight="1">
      <c r="A3" s="272"/>
      <c r="B3" s="238"/>
      <c r="C3" s="12"/>
      <c r="D3" s="239" t="s">
        <v>0</v>
      </c>
      <c r="E3" s="14"/>
      <c r="F3" s="14"/>
      <c r="G3" s="14"/>
      <c r="H3" s="15"/>
      <c r="I3" s="273"/>
      <c r="J3" s="274"/>
      <c r="K3" s="275"/>
      <c r="L3" s="275"/>
      <c r="M3" s="275"/>
      <c r="N3" s="275"/>
      <c r="O3" s="275"/>
      <c r="P3" s="275"/>
      <c r="Q3" s="274"/>
    </row>
    <row r="4" ht="12.75" customHeight="1">
      <c r="A4" s="272"/>
      <c r="B4" s="17"/>
      <c r="C4" s="18"/>
      <c r="D4" s="240" t="s">
        <v>1</v>
      </c>
      <c r="E4" s="241"/>
      <c r="F4" s="241"/>
      <c r="G4" s="26"/>
      <c r="H4" s="242"/>
      <c r="I4" s="276"/>
      <c r="J4" s="274"/>
      <c r="K4" s="275"/>
      <c r="L4" s="275"/>
      <c r="M4" s="275"/>
      <c r="N4" s="275"/>
      <c r="O4" s="275"/>
      <c r="P4" s="275"/>
      <c r="Q4" s="274"/>
    </row>
    <row r="5" ht="15.75" customHeight="1">
      <c r="A5" s="272"/>
      <c r="B5" s="17"/>
      <c r="C5" s="18"/>
      <c r="D5" s="243" t="s">
        <v>3</v>
      </c>
      <c r="E5" s="241"/>
      <c r="F5" s="241"/>
      <c r="G5" s="26"/>
      <c r="H5" s="244"/>
      <c r="I5" s="277"/>
      <c r="J5" s="274"/>
      <c r="K5" s="275"/>
      <c r="L5" s="275"/>
      <c r="M5" s="275"/>
      <c r="N5" s="275"/>
      <c r="O5" s="275"/>
      <c r="P5" s="275"/>
      <c r="Q5" s="274"/>
    </row>
    <row r="6" ht="12.75" customHeight="1">
      <c r="A6" s="272"/>
      <c r="B6" s="17"/>
      <c r="C6" s="18"/>
      <c r="D6" s="240" t="s">
        <v>5</v>
      </c>
      <c r="E6" s="241"/>
      <c r="F6" s="241"/>
      <c r="G6" s="26"/>
      <c r="H6" s="242"/>
      <c r="I6" s="20"/>
      <c r="J6" s="278"/>
      <c r="K6" s="275"/>
      <c r="L6" s="275"/>
      <c r="M6" s="275"/>
      <c r="N6" s="275"/>
      <c r="O6" s="275"/>
      <c r="P6" s="275"/>
      <c r="Q6" s="274"/>
    </row>
    <row r="7" ht="12.75" customHeight="1">
      <c r="A7" s="272"/>
      <c r="B7" s="17"/>
      <c r="C7" s="18"/>
      <c r="D7" s="240" t="s">
        <v>6</v>
      </c>
      <c r="E7" s="241"/>
      <c r="F7" s="241"/>
      <c r="G7" s="26"/>
      <c r="H7" s="242"/>
      <c r="I7" s="276"/>
      <c r="J7" s="278"/>
      <c r="K7" s="275"/>
      <c r="L7" s="275"/>
      <c r="M7" s="275"/>
      <c r="N7" s="275"/>
      <c r="O7" s="275"/>
      <c r="P7" s="275"/>
      <c r="Q7" s="274"/>
    </row>
    <row r="8">
      <c r="A8" s="272"/>
      <c r="B8" s="17"/>
      <c r="C8" s="18"/>
      <c r="D8" s="240" t="s">
        <v>8</v>
      </c>
      <c r="E8" s="241"/>
      <c r="F8" s="241"/>
      <c r="G8" s="26"/>
      <c r="H8" s="242"/>
      <c r="I8" s="279"/>
      <c r="J8" s="278"/>
      <c r="K8" s="275"/>
      <c r="L8" s="275"/>
      <c r="M8" s="275"/>
      <c r="N8" s="275"/>
      <c r="O8" s="275"/>
      <c r="P8" s="275"/>
      <c r="Q8" s="274"/>
    </row>
    <row r="9">
      <c r="A9" s="272"/>
      <c r="B9" s="25"/>
      <c r="C9" s="26"/>
      <c r="D9" s="246" t="s">
        <v>10</v>
      </c>
      <c r="E9" s="241"/>
      <c r="F9" s="241"/>
      <c r="G9" s="26"/>
      <c r="H9" s="242"/>
      <c r="I9" s="276"/>
      <c r="J9" s="274"/>
      <c r="K9" s="275"/>
      <c r="L9" s="275"/>
      <c r="M9" s="275"/>
      <c r="N9" s="275"/>
      <c r="O9" s="275"/>
      <c r="P9" s="275"/>
      <c r="Q9" s="274"/>
    </row>
    <row r="10" ht="12.75" customHeight="1">
      <c r="A10" s="270"/>
      <c r="B10" s="6"/>
      <c r="C10" s="16"/>
      <c r="D10" s="271"/>
      <c r="E10" s="271"/>
      <c r="F10" s="271"/>
      <c r="G10" s="271"/>
      <c r="H10" s="271"/>
      <c r="I10" s="4"/>
      <c r="J10" s="4"/>
      <c r="K10" s="271"/>
      <c r="L10" s="271"/>
      <c r="M10" s="271"/>
      <c r="N10" s="271"/>
      <c r="O10" s="271"/>
      <c r="P10" s="271"/>
      <c r="Q10" s="4"/>
    </row>
    <row r="11" ht="15.0" customHeight="1">
      <c r="A11" s="280" t="s">
        <v>883</v>
      </c>
      <c r="B11" s="34"/>
      <c r="C11" s="34"/>
      <c r="D11" s="280" t="s">
        <v>883</v>
      </c>
      <c r="E11" s="34"/>
      <c r="F11" s="34"/>
      <c r="G11" s="34"/>
      <c r="H11" s="34"/>
      <c r="I11" s="34"/>
      <c r="J11" s="34"/>
      <c r="K11" s="34"/>
      <c r="L11" s="35"/>
      <c r="M11" s="281"/>
      <c r="N11" s="281"/>
      <c r="O11" s="281"/>
      <c r="P11" s="281"/>
      <c r="Q11" s="282"/>
    </row>
    <row r="12" ht="15.0" customHeight="1">
      <c r="A12" s="283"/>
      <c r="B12" s="284" t="s">
        <v>884</v>
      </c>
      <c r="C12" s="285"/>
      <c r="D12" s="252"/>
      <c r="E12" s="286" t="s">
        <v>885</v>
      </c>
      <c r="F12" s="35"/>
      <c r="G12" s="286" t="s">
        <v>886</v>
      </c>
      <c r="H12" s="35"/>
      <c r="I12" s="286" t="s">
        <v>887</v>
      </c>
      <c r="J12" s="35"/>
      <c r="K12" s="286" t="s">
        <v>888</v>
      </c>
      <c r="L12" s="35"/>
      <c r="M12" s="286" t="s">
        <v>889</v>
      </c>
      <c r="N12" s="35"/>
      <c r="O12" s="286" t="s">
        <v>890</v>
      </c>
      <c r="P12" s="35"/>
      <c r="Q12" s="287"/>
    </row>
    <row r="13" ht="12.75" customHeight="1">
      <c r="A13" s="41"/>
      <c r="B13" s="41"/>
      <c r="C13" s="288" t="s">
        <v>891</v>
      </c>
      <c r="D13" s="288" t="s">
        <v>892</v>
      </c>
      <c r="E13" s="288" t="s">
        <v>892</v>
      </c>
      <c r="F13" s="288" t="s">
        <v>893</v>
      </c>
      <c r="G13" s="288" t="s">
        <v>892</v>
      </c>
      <c r="H13" s="288" t="s">
        <v>893</v>
      </c>
      <c r="I13" s="288"/>
      <c r="J13" s="288" t="s">
        <v>893</v>
      </c>
      <c r="K13" s="288" t="s">
        <v>892</v>
      </c>
      <c r="L13" s="288" t="s">
        <v>893</v>
      </c>
      <c r="M13" s="288" t="s">
        <v>892</v>
      </c>
      <c r="N13" s="288" t="s">
        <v>893</v>
      </c>
      <c r="O13" s="288" t="s">
        <v>892</v>
      </c>
      <c r="P13" s="288" t="s">
        <v>893</v>
      </c>
      <c r="Q13" s="289"/>
    </row>
    <row r="14" ht="12.75" customHeight="1">
      <c r="A14" s="290" t="s">
        <v>24</v>
      </c>
      <c r="B14" s="291" t="str">
        <f>VLOOKUP(A14,'ORÇAMENTO GLOBAL'!A14:M437,4,0)</f>
        <v>SERVIÇOS GERAIS</v>
      </c>
      <c r="C14" s="292">
        <f>VLOOKUP(A14,'ORÇAMENTO GLOBAL'!A14:M437,13,FALSE())</f>
        <v>16874.12</v>
      </c>
      <c r="D14" s="293">
        <f>C14/'ORÇAMENTO GLOBAL'!$M$7</f>
        <v>0.01886258842</v>
      </c>
      <c r="E14" s="294">
        <f>1/6</f>
        <v>0.1666666667</v>
      </c>
      <c r="F14" s="295">
        <f t="shared" ref="F14:F29" si="1">E14*C14</f>
        <v>2812.353333</v>
      </c>
      <c r="G14" s="296">
        <f>1/6</f>
        <v>0.1666666667</v>
      </c>
      <c r="H14" s="297">
        <f t="shared" ref="H14:H29" si="2">G14*C14</f>
        <v>2812.353333</v>
      </c>
      <c r="I14" s="298">
        <f>1/6</f>
        <v>0.1666666667</v>
      </c>
      <c r="J14" s="297">
        <f t="shared" ref="J14:J29" si="3">I14*C14</f>
        <v>2812.353333</v>
      </c>
      <c r="K14" s="298">
        <f>1/6</f>
        <v>0.1666666667</v>
      </c>
      <c r="L14" s="297">
        <f t="shared" ref="L14:L29" si="4">K14*C14</f>
        <v>2812.353333</v>
      </c>
      <c r="M14" s="298">
        <f>1/6</f>
        <v>0.1666666667</v>
      </c>
      <c r="N14" s="297">
        <f t="shared" ref="N14:N29" si="5">M14*C14</f>
        <v>2812.353333</v>
      </c>
      <c r="O14" s="298">
        <f>1/6</f>
        <v>0.1666666667</v>
      </c>
      <c r="P14" s="297">
        <f t="shared" ref="P14:P29" si="6">O14*C14</f>
        <v>2812.353333</v>
      </c>
      <c r="Q14" s="299">
        <f t="shared" ref="Q14:Q29" si="7">O14+M14+K14+I14+G14+E14</f>
        <v>1</v>
      </c>
      <c r="R14" s="300"/>
      <c r="S14" s="300"/>
      <c r="T14" s="300"/>
      <c r="U14" s="300"/>
      <c r="V14" s="300"/>
      <c r="W14" s="300"/>
      <c r="X14" s="300"/>
      <c r="Y14" s="300"/>
      <c r="Z14" s="300"/>
    </row>
    <row r="15" ht="12.75" customHeight="1">
      <c r="A15" s="301" t="s">
        <v>36</v>
      </c>
      <c r="B15" s="291" t="str">
        <f>VLOOKUP(A15,'ORÇAMENTO GLOBAL'!A15:M438,4,0)</f>
        <v>RESERVATÓRIO</v>
      </c>
      <c r="C15" s="292">
        <f>VLOOKUP(A15,'ORÇAMENTO GLOBAL'!A15:M438,13,FALSE())</f>
        <v>96932.55</v>
      </c>
      <c r="D15" s="293">
        <f>C15/'ORÇAMENTO GLOBAL'!$M$7</f>
        <v>0.1083552087</v>
      </c>
      <c r="E15" s="302"/>
      <c r="F15" s="295">
        <f t="shared" si="1"/>
        <v>0</v>
      </c>
      <c r="G15" s="303">
        <v>0.7</v>
      </c>
      <c r="H15" s="297">
        <f t="shared" si="2"/>
        <v>67852.785</v>
      </c>
      <c r="I15" s="298">
        <v>0.3</v>
      </c>
      <c r="J15" s="297">
        <f t="shared" si="3"/>
        <v>29079.765</v>
      </c>
      <c r="K15" s="296"/>
      <c r="L15" s="297">
        <f t="shared" si="4"/>
        <v>0</v>
      </c>
      <c r="M15" s="296"/>
      <c r="N15" s="297">
        <f t="shared" si="5"/>
        <v>0</v>
      </c>
      <c r="O15" s="296"/>
      <c r="P15" s="297">
        <f t="shared" si="6"/>
        <v>0</v>
      </c>
      <c r="Q15" s="299">
        <f t="shared" si="7"/>
        <v>1</v>
      </c>
      <c r="R15" s="300"/>
      <c r="S15" s="300"/>
      <c r="T15" s="300"/>
      <c r="U15" s="300"/>
      <c r="V15" s="300"/>
      <c r="W15" s="300"/>
      <c r="X15" s="300"/>
      <c r="Y15" s="300"/>
      <c r="Z15" s="300"/>
    </row>
    <row r="16" ht="12.75" customHeight="1">
      <c r="A16" s="301" t="s">
        <v>135</v>
      </c>
      <c r="B16" s="304" t="str">
        <f>VLOOKUP(A16,'ORÇAMENTO GLOBAL'!A16:M439,4,0)</f>
        <v>EXECUÇÃO DE REDE DE HIDRANTES E INSTALAÇÃO DE BOMBAS</v>
      </c>
      <c r="C16" s="292">
        <f>VLOOKUP(A16,'ORÇAMENTO GLOBAL'!A16:M439,13,FALSE())</f>
        <v>383687.06</v>
      </c>
      <c r="D16" s="293">
        <f>C16/'ORÇAMENTO GLOBAL'!$M$7</f>
        <v>0.4289012461</v>
      </c>
      <c r="E16" s="294">
        <v>0.3</v>
      </c>
      <c r="F16" s="295">
        <f t="shared" si="1"/>
        <v>115106.118</v>
      </c>
      <c r="G16" s="303">
        <v>0.3</v>
      </c>
      <c r="H16" s="297">
        <f t="shared" si="2"/>
        <v>115106.118</v>
      </c>
      <c r="I16" s="298">
        <v>0.4</v>
      </c>
      <c r="J16" s="297">
        <f t="shared" si="3"/>
        <v>153474.824</v>
      </c>
      <c r="K16" s="296"/>
      <c r="L16" s="297">
        <f t="shared" si="4"/>
        <v>0</v>
      </c>
      <c r="M16" s="296"/>
      <c r="N16" s="297">
        <f t="shared" si="5"/>
        <v>0</v>
      </c>
      <c r="O16" s="296"/>
      <c r="P16" s="297">
        <f t="shared" si="6"/>
        <v>0</v>
      </c>
      <c r="Q16" s="299">
        <f t="shared" si="7"/>
        <v>1</v>
      </c>
      <c r="R16" s="300"/>
      <c r="S16" s="300"/>
      <c r="T16" s="300"/>
      <c r="U16" s="300"/>
      <c r="V16" s="300"/>
      <c r="W16" s="300"/>
      <c r="X16" s="300"/>
      <c r="Y16" s="300"/>
      <c r="Z16" s="300"/>
    </row>
    <row r="17" ht="12.75" customHeight="1">
      <c r="A17" s="301" t="s">
        <v>420</v>
      </c>
      <c r="B17" s="291" t="str">
        <f>VLOOKUP(A17,'ORÇAMENTO GLOBAL'!A17:M440,4,0)</f>
        <v>EXTINTORES, PLACAS, ALARME E ILUMINAÇÃO</v>
      </c>
      <c r="C17" s="292">
        <f>VLOOKUP(A17,'ORÇAMENTO GLOBAL'!A17:M440,13,FALSE())</f>
        <v>175975.16</v>
      </c>
      <c r="D17" s="293">
        <f>C17/'ORÇAMENTO GLOBAL'!$M$7</f>
        <v>0.1967123035</v>
      </c>
      <c r="E17" s="298"/>
      <c r="F17" s="295">
        <f t="shared" si="1"/>
        <v>0</v>
      </c>
      <c r="G17" s="302"/>
      <c r="H17" s="297">
        <f t="shared" si="2"/>
        <v>0</v>
      </c>
      <c r="I17" s="298"/>
      <c r="J17" s="297">
        <f t="shared" si="3"/>
        <v>0</v>
      </c>
      <c r="K17" s="296"/>
      <c r="L17" s="297">
        <f t="shared" si="4"/>
        <v>0</v>
      </c>
      <c r="M17" s="296">
        <v>0.5</v>
      </c>
      <c r="N17" s="297">
        <f t="shared" si="5"/>
        <v>87987.58</v>
      </c>
      <c r="O17" s="296">
        <v>0.5</v>
      </c>
      <c r="P17" s="297">
        <f t="shared" si="6"/>
        <v>87987.58</v>
      </c>
      <c r="Q17" s="299">
        <f t="shared" si="7"/>
        <v>1</v>
      </c>
      <c r="R17" s="300"/>
      <c r="S17" s="300"/>
      <c r="T17" s="300"/>
      <c r="U17" s="300"/>
      <c r="V17" s="300"/>
      <c r="W17" s="300"/>
      <c r="X17" s="300"/>
      <c r="Y17" s="300"/>
      <c r="Z17" s="300"/>
    </row>
    <row r="18" ht="12.75" customHeight="1">
      <c r="A18" s="301" t="s">
        <v>530</v>
      </c>
      <c r="B18" s="291" t="str">
        <f>VLOOKUP(A18,'ORÇAMENTO GLOBAL'!A19:M441,4,0)</f>
        <v>ADEQUAÇÕES PREDIO CENTRAL SUPERIOR</v>
      </c>
      <c r="C18" s="292">
        <f>VLOOKUP(A18,'ORÇAMENTO GLOBAL'!A19:M441,13,FALSE())</f>
        <v>81290.74</v>
      </c>
      <c r="D18" s="293">
        <f>C18/'ORÇAMENTO GLOBAL'!$M$7</f>
        <v>0.09087014735</v>
      </c>
      <c r="E18" s="302"/>
      <c r="F18" s="295">
        <f t="shared" si="1"/>
        <v>0</v>
      </c>
      <c r="G18" s="303"/>
      <c r="H18" s="297">
        <f t="shared" si="2"/>
        <v>0</v>
      </c>
      <c r="I18" s="298"/>
      <c r="J18" s="297">
        <f t="shared" si="3"/>
        <v>0</v>
      </c>
      <c r="K18" s="296">
        <v>0.5</v>
      </c>
      <c r="L18" s="297">
        <f t="shared" si="4"/>
        <v>40645.37</v>
      </c>
      <c r="M18" s="296">
        <v>0.5</v>
      </c>
      <c r="N18" s="297">
        <f t="shared" si="5"/>
        <v>40645.37</v>
      </c>
      <c r="O18" s="296"/>
      <c r="P18" s="297">
        <f t="shared" si="6"/>
        <v>0</v>
      </c>
      <c r="Q18" s="299">
        <f t="shared" si="7"/>
        <v>1</v>
      </c>
      <c r="R18" s="300"/>
      <c r="S18" s="300"/>
      <c r="T18" s="300"/>
      <c r="U18" s="300"/>
      <c r="V18" s="300"/>
      <c r="W18" s="300"/>
      <c r="X18" s="300"/>
      <c r="Y18" s="300"/>
      <c r="Z18" s="300"/>
    </row>
    <row r="19" ht="12.75" customHeight="1">
      <c r="A19" s="301" t="s">
        <v>577</v>
      </c>
      <c r="B19" s="291" t="str">
        <f>VLOOKUP(A19,'ORÇAMENTO GLOBAL'!A20:M442,4,0)</f>
        <v>ADEQUAÇÕES PREDIO CENTRAL TÉRREO</v>
      </c>
      <c r="C19" s="292">
        <f>VLOOKUP(A19,'ORÇAMENTO GLOBAL'!A20:M442,13,FALSE())</f>
        <v>4219.53</v>
      </c>
      <c r="D19" s="293">
        <f>C19/'ORÇAMENTO GLOBAL'!$M$7</f>
        <v>0.004716764946</v>
      </c>
      <c r="E19" s="298"/>
      <c r="F19" s="295">
        <f t="shared" si="1"/>
        <v>0</v>
      </c>
      <c r="G19" s="302"/>
      <c r="H19" s="297">
        <f t="shared" si="2"/>
        <v>0</v>
      </c>
      <c r="I19" s="298"/>
      <c r="J19" s="297">
        <f t="shared" si="3"/>
        <v>0</v>
      </c>
      <c r="K19" s="296">
        <v>1.0</v>
      </c>
      <c r="L19" s="297">
        <f t="shared" si="4"/>
        <v>4219.53</v>
      </c>
      <c r="M19" s="296"/>
      <c r="N19" s="297">
        <f t="shared" si="5"/>
        <v>0</v>
      </c>
      <c r="O19" s="296"/>
      <c r="P19" s="297">
        <f t="shared" si="6"/>
        <v>0</v>
      </c>
      <c r="Q19" s="299">
        <f t="shared" si="7"/>
        <v>1</v>
      </c>
      <c r="R19" s="300"/>
      <c r="S19" s="300"/>
      <c r="T19" s="300"/>
      <c r="U19" s="300"/>
      <c r="V19" s="300"/>
      <c r="W19" s="300"/>
      <c r="X19" s="300"/>
      <c r="Y19" s="300"/>
      <c r="Z19" s="300"/>
    </row>
    <row r="20" ht="12.75" customHeight="1">
      <c r="A20" s="301" t="s">
        <v>604</v>
      </c>
      <c r="B20" s="291" t="str">
        <f>VLOOKUP(A20,'ORÇAMENTO GLOBAL'!A21:M443,4,0)</f>
        <v>ADEQUAÇÕES ENFERMAGEM</v>
      </c>
      <c r="C20" s="292">
        <f>VLOOKUP(A20,'ORÇAMENTO GLOBAL'!A21:M443,13,FALSE())</f>
        <v>6249.77</v>
      </c>
      <c r="D20" s="293">
        <f>C20/'ORÇAMENTO GLOBAL'!$M$7</f>
        <v>0.006986251088</v>
      </c>
      <c r="E20" s="298"/>
      <c r="F20" s="295">
        <f t="shared" si="1"/>
        <v>0</v>
      </c>
      <c r="G20" s="302"/>
      <c r="H20" s="297">
        <f t="shared" si="2"/>
        <v>0</v>
      </c>
      <c r="I20" s="298"/>
      <c r="J20" s="297">
        <f t="shared" si="3"/>
        <v>0</v>
      </c>
      <c r="K20" s="296">
        <v>1.0</v>
      </c>
      <c r="L20" s="297">
        <f t="shared" si="4"/>
        <v>6249.77</v>
      </c>
      <c r="M20" s="296"/>
      <c r="N20" s="297">
        <f t="shared" si="5"/>
        <v>0</v>
      </c>
      <c r="O20" s="296"/>
      <c r="P20" s="297">
        <f t="shared" si="6"/>
        <v>0</v>
      </c>
      <c r="Q20" s="299">
        <f t="shared" si="7"/>
        <v>1</v>
      </c>
      <c r="R20" s="300"/>
      <c r="S20" s="300"/>
      <c r="T20" s="300"/>
      <c r="U20" s="300"/>
      <c r="V20" s="300"/>
      <c r="W20" s="300"/>
      <c r="X20" s="300"/>
      <c r="Y20" s="300"/>
      <c r="Z20" s="300"/>
    </row>
    <row r="21" ht="12.75" customHeight="1">
      <c r="A21" s="301" t="s">
        <v>641</v>
      </c>
      <c r="B21" s="291" t="str">
        <f>VLOOKUP(A21,'ORÇAMENTO GLOBAL'!A22:M444,4,0)</f>
        <v>ADEQUAÇÕES BIOLOGIA</v>
      </c>
      <c r="C21" s="292">
        <f>VLOOKUP(A21,'ORÇAMENTO GLOBAL'!A22:M444,13,FALSE())</f>
        <v>1954.61</v>
      </c>
      <c r="D21" s="293">
        <f>C21/'ORÇAMENTO GLOBAL'!$M$7</f>
        <v>0.002184943804</v>
      </c>
      <c r="E21" s="298"/>
      <c r="F21" s="295">
        <f t="shared" si="1"/>
        <v>0</v>
      </c>
      <c r="G21" s="302"/>
      <c r="H21" s="297">
        <f t="shared" si="2"/>
        <v>0</v>
      </c>
      <c r="I21" s="298"/>
      <c r="J21" s="297">
        <f t="shared" si="3"/>
        <v>0</v>
      </c>
      <c r="K21" s="296">
        <v>1.0</v>
      </c>
      <c r="L21" s="297">
        <f t="shared" si="4"/>
        <v>1954.61</v>
      </c>
      <c r="M21" s="296"/>
      <c r="N21" s="297">
        <f t="shared" si="5"/>
        <v>0</v>
      </c>
      <c r="O21" s="296"/>
      <c r="P21" s="297">
        <f t="shared" si="6"/>
        <v>0</v>
      </c>
      <c r="Q21" s="299">
        <f t="shared" si="7"/>
        <v>1</v>
      </c>
      <c r="R21" s="300"/>
      <c r="S21" s="300"/>
      <c r="T21" s="300"/>
      <c r="U21" s="300"/>
      <c r="V21" s="300"/>
      <c r="W21" s="300"/>
      <c r="X21" s="300"/>
      <c r="Y21" s="300"/>
      <c r="Z21" s="300"/>
    </row>
    <row r="22" ht="12.75" customHeight="1">
      <c r="A22" s="301" t="s">
        <v>659</v>
      </c>
      <c r="B22" s="291" t="str">
        <f>VLOOKUP(A22,'ORÇAMENTO GLOBAL'!A37:M465,4,0)</f>
        <v>ADEQUAÇÕES NICOLETTI</v>
      </c>
      <c r="C22" s="292">
        <f>VLOOKUP(A22,'ORÇAMENTO GLOBAL'!A37:M465,13,FALSE())</f>
        <v>3908.68</v>
      </c>
      <c r="D22" s="293">
        <f>C22/'ORÇAMENTO GLOBAL'!$M$7</f>
        <v>0.004369283974</v>
      </c>
      <c r="E22" s="298"/>
      <c r="F22" s="295">
        <f t="shared" si="1"/>
        <v>0</v>
      </c>
      <c r="G22" s="298"/>
      <c r="H22" s="297">
        <f t="shared" si="2"/>
        <v>0</v>
      </c>
      <c r="I22" s="298"/>
      <c r="J22" s="297">
        <f t="shared" si="3"/>
        <v>0</v>
      </c>
      <c r="K22" s="296">
        <v>1.0</v>
      </c>
      <c r="L22" s="297">
        <f t="shared" si="4"/>
        <v>3908.68</v>
      </c>
      <c r="M22" s="296"/>
      <c r="N22" s="297">
        <f t="shared" si="5"/>
        <v>0</v>
      </c>
      <c r="O22" s="296"/>
      <c r="P22" s="297">
        <f t="shared" si="6"/>
        <v>0</v>
      </c>
      <c r="Q22" s="299">
        <f t="shared" si="7"/>
        <v>1</v>
      </c>
      <c r="R22" s="300"/>
      <c r="S22" s="300"/>
      <c r="T22" s="300"/>
      <c r="U22" s="300"/>
      <c r="V22" s="300"/>
      <c r="W22" s="300"/>
      <c r="X22" s="300"/>
      <c r="Y22" s="300"/>
      <c r="Z22" s="300"/>
    </row>
    <row r="23" ht="12.75" customHeight="1">
      <c r="A23" s="301" t="s">
        <v>670</v>
      </c>
      <c r="B23" s="291" t="str">
        <f>VLOOKUP(A23,'ORÇAMENTO GLOBAL'!A44:M466,4,0)</f>
        <v>ADEQUAÇÕES BIBLIOTECA</v>
      </c>
      <c r="C23" s="292">
        <f>VLOOKUP(A23,'ORÇAMENTO GLOBAL'!A44:M466,13,FALSE())</f>
        <v>3977.42</v>
      </c>
      <c r="D23" s="293">
        <f>C23/'ORÇAMENTO GLOBAL'!$M$7</f>
        <v>0.004446124386</v>
      </c>
      <c r="E23" s="298"/>
      <c r="F23" s="295">
        <f t="shared" si="1"/>
        <v>0</v>
      </c>
      <c r="G23" s="298"/>
      <c r="H23" s="297">
        <f t="shared" si="2"/>
        <v>0</v>
      </c>
      <c r="I23" s="298"/>
      <c r="J23" s="297">
        <f t="shared" si="3"/>
        <v>0</v>
      </c>
      <c r="K23" s="296">
        <v>1.0</v>
      </c>
      <c r="L23" s="297">
        <f t="shared" si="4"/>
        <v>3977.42</v>
      </c>
      <c r="M23" s="296"/>
      <c r="N23" s="297">
        <f t="shared" si="5"/>
        <v>0</v>
      </c>
      <c r="O23" s="296"/>
      <c r="P23" s="297">
        <f t="shared" si="6"/>
        <v>0</v>
      </c>
      <c r="Q23" s="299">
        <f t="shared" si="7"/>
        <v>1</v>
      </c>
      <c r="R23" s="300"/>
      <c r="S23" s="300"/>
      <c r="T23" s="300"/>
      <c r="U23" s="300"/>
      <c r="V23" s="300"/>
      <c r="W23" s="300"/>
      <c r="X23" s="300"/>
      <c r="Y23" s="300"/>
      <c r="Z23" s="300"/>
    </row>
    <row r="24" ht="12.75" customHeight="1">
      <c r="A24" s="301" t="s">
        <v>683</v>
      </c>
      <c r="B24" s="291" t="str">
        <f>VLOOKUP(A24,'ORÇAMENTO GLOBAL'!A45:M467,4,0)</f>
        <v>ADEQUAÇÕES OFICINA</v>
      </c>
      <c r="C24" s="292">
        <f>VLOOKUP(A24,'ORÇAMENTO GLOBAL'!A45:M467,13,FALSE())</f>
        <v>42848.78</v>
      </c>
      <c r="D24" s="293">
        <f>C24/'ORÇAMENTO GLOBAL'!$M$7</f>
        <v>0.0478981364</v>
      </c>
      <c r="E24" s="298"/>
      <c r="F24" s="295">
        <f t="shared" si="1"/>
        <v>0</v>
      </c>
      <c r="G24" s="298"/>
      <c r="H24" s="297">
        <f t="shared" si="2"/>
        <v>0</v>
      </c>
      <c r="I24" s="298"/>
      <c r="J24" s="297">
        <f t="shared" si="3"/>
        <v>0</v>
      </c>
      <c r="K24" s="296"/>
      <c r="L24" s="297">
        <f t="shared" si="4"/>
        <v>0</v>
      </c>
      <c r="M24" s="296">
        <v>1.0</v>
      </c>
      <c r="N24" s="297">
        <f t="shared" si="5"/>
        <v>42848.78</v>
      </c>
      <c r="O24" s="296"/>
      <c r="P24" s="297">
        <f t="shared" si="6"/>
        <v>0</v>
      </c>
      <c r="Q24" s="299">
        <f t="shared" si="7"/>
        <v>1</v>
      </c>
      <c r="R24" s="300"/>
      <c r="S24" s="300"/>
      <c r="T24" s="300"/>
      <c r="U24" s="300"/>
      <c r="V24" s="300"/>
      <c r="W24" s="300"/>
      <c r="X24" s="300"/>
      <c r="Y24" s="300"/>
      <c r="Z24" s="300"/>
    </row>
    <row r="25" ht="12.75" customHeight="1">
      <c r="A25" s="301" t="s">
        <v>717</v>
      </c>
      <c r="B25" s="291" t="str">
        <f>VLOOKUP(A25,'ORÇAMENTO GLOBAL'!A46:M468,4,0)</f>
        <v>ADEQUAÇÕES SETOR VETERINÁRIA</v>
      </c>
      <c r="C25" s="292">
        <f>VLOOKUP(A25,'ORÇAMENTO GLOBAL'!A46:M468,13,FALSE())</f>
        <v>5571.86</v>
      </c>
      <c r="D25" s="293">
        <f>C25/'ORÇAMENTO GLOBAL'!$M$7</f>
        <v>0.006228455285</v>
      </c>
      <c r="E25" s="298"/>
      <c r="F25" s="295">
        <f t="shared" si="1"/>
        <v>0</v>
      </c>
      <c r="G25" s="298"/>
      <c r="H25" s="297">
        <f t="shared" si="2"/>
        <v>0</v>
      </c>
      <c r="I25" s="298"/>
      <c r="J25" s="297">
        <f t="shared" si="3"/>
        <v>0</v>
      </c>
      <c r="K25" s="296"/>
      <c r="L25" s="297">
        <f t="shared" si="4"/>
        <v>0</v>
      </c>
      <c r="M25" s="296">
        <v>1.0</v>
      </c>
      <c r="N25" s="297">
        <f t="shared" si="5"/>
        <v>5571.86</v>
      </c>
      <c r="O25" s="296"/>
      <c r="P25" s="297">
        <f t="shared" si="6"/>
        <v>0</v>
      </c>
      <c r="Q25" s="299">
        <f t="shared" si="7"/>
        <v>1</v>
      </c>
      <c r="R25" s="300"/>
      <c r="S25" s="300"/>
      <c r="T25" s="300"/>
      <c r="U25" s="300"/>
      <c r="V25" s="300"/>
      <c r="W25" s="300"/>
      <c r="X25" s="300"/>
      <c r="Y25" s="300"/>
      <c r="Z25" s="300"/>
    </row>
    <row r="26" ht="12.75" customHeight="1">
      <c r="A26" s="301" t="s">
        <v>745</v>
      </c>
      <c r="B26" s="291" t="str">
        <f>VLOOKUP(A26,'ORÇAMENTO GLOBAL'!A47:M469,4,0)</f>
        <v>ADEQUAÇÕES SETOR PROD VEGETAL</v>
      </c>
      <c r="C26" s="292">
        <f>VLOOKUP(A26,'ORÇAMENTO GLOBAL'!A47:M469,13,FALSE())</f>
        <v>1557.59</v>
      </c>
      <c r="D26" s="293">
        <f>C26/'ORÇAMENTO GLOBAL'!$M$7</f>
        <v>0.001741138447</v>
      </c>
      <c r="E26" s="298"/>
      <c r="F26" s="295">
        <f t="shared" si="1"/>
        <v>0</v>
      </c>
      <c r="G26" s="298"/>
      <c r="H26" s="297">
        <f t="shared" si="2"/>
        <v>0</v>
      </c>
      <c r="I26" s="298"/>
      <c r="J26" s="297">
        <f t="shared" si="3"/>
        <v>0</v>
      </c>
      <c r="K26" s="296"/>
      <c r="L26" s="297">
        <f t="shared" si="4"/>
        <v>0</v>
      </c>
      <c r="M26" s="296">
        <v>1.0</v>
      </c>
      <c r="N26" s="297">
        <f t="shared" si="5"/>
        <v>1557.59</v>
      </c>
      <c r="O26" s="296"/>
      <c r="P26" s="297">
        <f t="shared" si="6"/>
        <v>0</v>
      </c>
      <c r="Q26" s="299">
        <f t="shared" si="7"/>
        <v>1</v>
      </c>
      <c r="R26" s="300"/>
      <c r="S26" s="300"/>
      <c r="T26" s="300"/>
      <c r="U26" s="300"/>
      <c r="V26" s="300"/>
      <c r="W26" s="300"/>
      <c r="X26" s="300"/>
      <c r="Y26" s="300"/>
      <c r="Z26" s="300"/>
    </row>
    <row r="27" ht="12.75" customHeight="1">
      <c r="A27" s="301" t="s">
        <v>760</v>
      </c>
      <c r="B27" s="291" t="str">
        <f>VLOOKUP(A27,'ORÇAMENTO GLOBAL'!A48:M470,4,0)</f>
        <v>ADEQUAÇÕES SETOR ENGENHARIA</v>
      </c>
      <c r="C27" s="292">
        <f>VLOOKUP(A27,'ORÇAMENTO GLOBAL'!A48:M470,13,FALSE())</f>
        <v>1954.61</v>
      </c>
      <c r="D27" s="293">
        <f>C27/'ORÇAMENTO GLOBAL'!$M$7</f>
        <v>0.002184943804</v>
      </c>
      <c r="E27" s="298"/>
      <c r="F27" s="295">
        <f t="shared" si="1"/>
        <v>0</v>
      </c>
      <c r="G27" s="298"/>
      <c r="H27" s="297">
        <f t="shared" si="2"/>
        <v>0</v>
      </c>
      <c r="I27" s="298"/>
      <c r="J27" s="297">
        <f t="shared" si="3"/>
        <v>0</v>
      </c>
      <c r="K27" s="296"/>
      <c r="L27" s="297">
        <f t="shared" si="4"/>
        <v>0</v>
      </c>
      <c r="M27" s="296">
        <v>1.0</v>
      </c>
      <c r="N27" s="297">
        <f t="shared" si="5"/>
        <v>1954.61</v>
      </c>
      <c r="O27" s="296"/>
      <c r="P27" s="297">
        <f t="shared" si="6"/>
        <v>0</v>
      </c>
      <c r="Q27" s="299">
        <f t="shared" si="7"/>
        <v>1</v>
      </c>
      <c r="R27" s="300"/>
      <c r="S27" s="300"/>
      <c r="T27" s="300"/>
      <c r="U27" s="300"/>
      <c r="V27" s="300"/>
      <c r="W27" s="300"/>
      <c r="X27" s="300"/>
      <c r="Y27" s="300"/>
      <c r="Z27" s="300"/>
    </row>
    <row r="28" ht="12.75" customHeight="1">
      <c r="A28" s="301" t="s">
        <v>770</v>
      </c>
      <c r="B28" s="291" t="str">
        <f>VLOOKUP(A28,'ORÇAMENTO GLOBAL'!A49:M471,4,0)</f>
        <v>ADEQUAÇÕES NEAT</v>
      </c>
      <c r="C28" s="292">
        <f>VLOOKUP(A28,'ORÇAMENTO GLOBAL'!A49:M471,13,FALSE())</f>
        <v>65989.77</v>
      </c>
      <c r="D28" s="293">
        <f>C28/'ORÇAMENTO GLOBAL'!$M$7</f>
        <v>0.07376609099</v>
      </c>
      <c r="E28" s="298"/>
      <c r="F28" s="295">
        <f t="shared" si="1"/>
        <v>0</v>
      </c>
      <c r="G28" s="298"/>
      <c r="H28" s="297">
        <f t="shared" si="2"/>
        <v>0</v>
      </c>
      <c r="I28" s="298"/>
      <c r="J28" s="297">
        <f t="shared" si="3"/>
        <v>0</v>
      </c>
      <c r="K28" s="296"/>
      <c r="L28" s="297">
        <f t="shared" si="4"/>
        <v>0</v>
      </c>
      <c r="M28" s="296">
        <v>0.5</v>
      </c>
      <c r="N28" s="297">
        <f t="shared" si="5"/>
        <v>32994.885</v>
      </c>
      <c r="O28" s="296">
        <v>0.5</v>
      </c>
      <c r="P28" s="297">
        <f t="shared" si="6"/>
        <v>32994.885</v>
      </c>
      <c r="Q28" s="299">
        <f t="shared" si="7"/>
        <v>1</v>
      </c>
      <c r="R28" s="300"/>
      <c r="S28" s="300"/>
      <c r="T28" s="300"/>
      <c r="U28" s="300"/>
      <c r="V28" s="300"/>
      <c r="W28" s="300"/>
      <c r="X28" s="300"/>
      <c r="Y28" s="300"/>
      <c r="Z28" s="300"/>
    </row>
    <row r="29" ht="12.75" customHeight="1">
      <c r="A29" s="301" t="s">
        <v>782</v>
      </c>
      <c r="B29" s="291" t="str">
        <f>VLOOKUP(A29,'ORÇAMENTO GLOBAL'!A50:M472,4,0)</f>
        <v>LIMPEZA GERAL E RETIRADA DE ENTULHOS</v>
      </c>
      <c r="C29" s="292">
        <f>VLOOKUP(A29,'ORÇAMENTO GLOBAL'!A50:M472,13,FALSE())</f>
        <v>1589.11</v>
      </c>
      <c r="D29" s="293">
        <f>C29/'ORÇAMENTO GLOBAL'!$M$7</f>
        <v>0.001776372805</v>
      </c>
      <c r="E29" s="305"/>
      <c r="F29" s="295">
        <f t="shared" si="1"/>
        <v>0</v>
      </c>
      <c r="G29" s="305"/>
      <c r="H29" s="297">
        <f t="shared" si="2"/>
        <v>0</v>
      </c>
      <c r="I29" s="305"/>
      <c r="J29" s="297">
        <f t="shared" si="3"/>
        <v>0</v>
      </c>
      <c r="K29" s="306"/>
      <c r="L29" s="297">
        <f t="shared" si="4"/>
        <v>0</v>
      </c>
      <c r="M29" s="296"/>
      <c r="N29" s="297">
        <f t="shared" si="5"/>
        <v>0</v>
      </c>
      <c r="O29" s="296">
        <v>1.0</v>
      </c>
      <c r="P29" s="297">
        <f t="shared" si="6"/>
        <v>1589.11</v>
      </c>
      <c r="Q29" s="299">
        <f t="shared" si="7"/>
        <v>1</v>
      </c>
      <c r="R29" s="300"/>
      <c r="S29" s="300"/>
      <c r="T29" s="300"/>
      <c r="U29" s="300"/>
      <c r="V29" s="300"/>
      <c r="W29" s="300"/>
      <c r="X29" s="300"/>
      <c r="Y29" s="300"/>
      <c r="Z29" s="300"/>
    </row>
    <row r="30" ht="12.75" customHeight="1">
      <c r="A30" s="307"/>
      <c r="B30" s="308"/>
      <c r="C30" s="309">
        <f t="shared" ref="C30:D30" si="8">SUM(C14:C29)</f>
        <v>894581.36</v>
      </c>
      <c r="D30" s="310">
        <f t="shared" si="8"/>
        <v>1</v>
      </c>
      <c r="E30" s="308"/>
      <c r="F30" s="308"/>
      <c r="G30" s="308"/>
      <c r="H30" s="308"/>
      <c r="I30" s="308"/>
      <c r="J30" s="308"/>
      <c r="K30" s="308"/>
      <c r="L30" s="308"/>
      <c r="M30" s="10"/>
      <c r="N30" s="10"/>
      <c r="O30" s="10"/>
      <c r="P30" s="10"/>
      <c r="Q30" s="4"/>
    </row>
    <row r="31" ht="12.75" customHeight="1">
      <c r="A31" s="311"/>
      <c r="B31" s="312" t="s">
        <v>894</v>
      </c>
      <c r="C31" s="285"/>
      <c r="D31" s="252"/>
      <c r="E31" s="313">
        <f>SUM(F14:F29)</f>
        <v>117918.4713</v>
      </c>
      <c r="F31" s="35"/>
      <c r="G31" s="313">
        <f>SUM(H14:H29)</f>
        <v>185771.2563</v>
      </c>
      <c r="H31" s="35"/>
      <c r="I31" s="313">
        <f>SUM(J14:J29)</f>
        <v>185366.9423</v>
      </c>
      <c r="J31" s="35"/>
      <c r="K31" s="313">
        <f>SUM(L14:L29)</f>
        <v>63767.73333</v>
      </c>
      <c r="L31" s="35"/>
      <c r="M31" s="313">
        <f>SUM(N14:N29)</f>
        <v>216373.0283</v>
      </c>
      <c r="N31" s="35"/>
      <c r="O31" s="313">
        <f>SUM(P14:P29)</f>
        <v>125383.9283</v>
      </c>
      <c r="P31" s="35"/>
      <c r="Q31" s="314"/>
      <c r="R31" s="35"/>
    </row>
    <row r="32" ht="12.75" customHeight="1">
      <c r="A32" s="311"/>
      <c r="B32" s="312" t="s">
        <v>895</v>
      </c>
      <c r="C32" s="315"/>
      <c r="D32" s="316"/>
      <c r="E32" s="317">
        <f>SUM(E31/$C$30)</f>
        <v>0.1318141386</v>
      </c>
      <c r="F32" s="35"/>
      <c r="G32" s="317">
        <f>SUM(G31/$C$30)</f>
        <v>0.2076627847</v>
      </c>
      <c r="H32" s="35"/>
      <c r="I32" s="317">
        <f>SUM(I31/$C$30)</f>
        <v>0.2072108258</v>
      </c>
      <c r="J32" s="35"/>
      <c r="K32" s="317">
        <f>SUM(K31/$C$30)</f>
        <v>0.07128220661</v>
      </c>
      <c r="L32" s="35"/>
      <c r="M32" s="317">
        <f>SUM(M31/$C$30)</f>
        <v>0.2418707096</v>
      </c>
      <c r="N32" s="35"/>
      <c r="O32" s="317">
        <f>SUM(O31/$C$30)</f>
        <v>0.1401593348</v>
      </c>
      <c r="P32" s="35"/>
      <c r="Q32" s="317"/>
      <c r="R32" s="35"/>
    </row>
    <row r="33" ht="12.75" customHeight="1">
      <c r="A33" s="311"/>
      <c r="B33" s="312" t="s">
        <v>896</v>
      </c>
      <c r="C33" s="285"/>
      <c r="D33" s="252"/>
      <c r="E33" s="318">
        <f t="shared" ref="E33:E34" si="9">E31</f>
        <v>117918.4713</v>
      </c>
      <c r="F33" s="35"/>
      <c r="G33" s="318">
        <f t="shared" ref="G33:G34" si="10">G31+E33</f>
        <v>303689.7277</v>
      </c>
      <c r="H33" s="35"/>
      <c r="I33" s="318">
        <f t="shared" ref="I33:I34" si="11">I31+G33</f>
        <v>489056.67</v>
      </c>
      <c r="J33" s="35"/>
      <c r="K33" s="318">
        <f t="shared" ref="K33:K34" si="12">K31+I33</f>
        <v>552824.4033</v>
      </c>
      <c r="L33" s="35"/>
      <c r="M33" s="318">
        <f t="shared" ref="M33:M34" si="13">M31+K33</f>
        <v>769197.4317</v>
      </c>
      <c r="N33" s="35"/>
      <c r="O33" s="318">
        <f t="shared" ref="O33:O34" si="14">O31+M33</f>
        <v>894581.36</v>
      </c>
      <c r="P33" s="35"/>
      <c r="Q33" s="318"/>
      <c r="R33" s="35"/>
    </row>
    <row r="34" ht="12.75" customHeight="1">
      <c r="A34" s="311"/>
      <c r="B34" s="312" t="s">
        <v>897</v>
      </c>
      <c r="C34" s="285"/>
      <c r="D34" s="316"/>
      <c r="E34" s="317">
        <f t="shared" si="9"/>
        <v>0.1318141386</v>
      </c>
      <c r="F34" s="35"/>
      <c r="G34" s="317">
        <f t="shared" si="10"/>
        <v>0.3394769232</v>
      </c>
      <c r="H34" s="35"/>
      <c r="I34" s="317">
        <f t="shared" si="11"/>
        <v>0.546687749</v>
      </c>
      <c r="J34" s="35"/>
      <c r="K34" s="317">
        <f t="shared" si="12"/>
        <v>0.6179699556</v>
      </c>
      <c r="L34" s="35"/>
      <c r="M34" s="317">
        <f t="shared" si="13"/>
        <v>0.8598406652</v>
      </c>
      <c r="N34" s="35"/>
      <c r="O34" s="317">
        <f t="shared" si="14"/>
        <v>1</v>
      </c>
      <c r="P34" s="35"/>
      <c r="Q34" s="317"/>
      <c r="R34" s="35"/>
    </row>
    <row r="35" ht="12.75" customHeight="1">
      <c r="A35" s="319"/>
      <c r="B35" s="245"/>
      <c r="C35" s="320"/>
      <c r="D35" s="245"/>
      <c r="E35" s="245"/>
      <c r="F35" s="245"/>
      <c r="G35" s="245"/>
      <c r="H35" s="245"/>
      <c r="I35" s="245"/>
      <c r="J35" s="245"/>
      <c r="K35" s="245"/>
      <c r="L35" s="245"/>
      <c r="M35" s="245"/>
      <c r="N35" s="245"/>
      <c r="O35" s="245"/>
      <c r="P35" s="245"/>
    </row>
    <row r="36" ht="12.75" customHeight="1">
      <c r="A36" s="237"/>
      <c r="B36" s="2"/>
      <c r="C36" s="2"/>
      <c r="D36" s="2"/>
      <c r="E36" s="2"/>
      <c r="F36" s="2"/>
      <c r="G36" s="2"/>
      <c r="H36" s="2"/>
      <c r="I36" s="2"/>
      <c r="J36" s="2"/>
      <c r="K36" s="321"/>
      <c r="L36" s="321"/>
      <c r="M36" s="321"/>
      <c r="N36" s="321"/>
      <c r="O36" s="321"/>
      <c r="P36" s="321"/>
      <c r="Q36" s="235"/>
      <c r="R36" s="235"/>
    </row>
    <row r="37" ht="12.75" customHeight="1">
      <c r="A37" s="322"/>
      <c r="C37" s="323"/>
    </row>
    <row r="38" ht="12.75" customHeight="1">
      <c r="A38" s="322"/>
      <c r="C38" s="323"/>
    </row>
    <row r="39" ht="12.75" customHeight="1">
      <c r="A39" s="322"/>
      <c r="C39" s="323"/>
    </row>
    <row r="40" ht="12.75" customHeight="1">
      <c r="A40" s="322"/>
      <c r="C40" s="323"/>
    </row>
    <row r="41" ht="12.75" customHeight="1">
      <c r="A41" s="322"/>
      <c r="C41" s="323"/>
    </row>
    <row r="42" ht="12.75" customHeight="1">
      <c r="A42" s="322"/>
      <c r="C42" s="323"/>
    </row>
    <row r="43" ht="12.75" customHeight="1">
      <c r="A43" s="322"/>
      <c r="C43" s="323"/>
    </row>
    <row r="44" ht="12.75" customHeight="1">
      <c r="A44" s="322"/>
      <c r="C44" s="323"/>
    </row>
    <row r="45" ht="12.75" customHeight="1">
      <c r="A45" s="322"/>
      <c r="C45" s="323"/>
    </row>
    <row r="46" ht="12.75" customHeight="1">
      <c r="A46" s="322"/>
      <c r="C46" s="323"/>
    </row>
    <row r="47" ht="12.75" customHeight="1">
      <c r="A47" s="322"/>
      <c r="C47" s="323"/>
    </row>
    <row r="48" ht="12.75" customHeight="1">
      <c r="A48" s="322"/>
      <c r="C48" s="323"/>
    </row>
    <row r="49" ht="12.75" customHeight="1">
      <c r="A49" s="322"/>
      <c r="C49" s="323"/>
    </row>
    <row r="50" ht="12.75" customHeight="1">
      <c r="A50" s="322"/>
      <c r="C50" s="323"/>
    </row>
    <row r="51" ht="12.75" customHeight="1">
      <c r="A51" s="322"/>
      <c r="C51" s="323"/>
    </row>
    <row r="52" ht="12.75" customHeight="1">
      <c r="A52" s="322"/>
      <c r="C52" s="323"/>
    </row>
    <row r="53" ht="12.75" customHeight="1">
      <c r="A53" s="322"/>
      <c r="C53" s="323"/>
    </row>
    <row r="54" ht="12.75" customHeight="1">
      <c r="A54" s="322"/>
      <c r="C54" s="323"/>
    </row>
    <row r="55" ht="12.75" customHeight="1">
      <c r="A55" s="322"/>
      <c r="C55" s="323"/>
    </row>
    <row r="56" ht="12.75" customHeight="1">
      <c r="A56" s="322"/>
      <c r="C56" s="323"/>
    </row>
    <row r="57" ht="12.75" customHeight="1">
      <c r="A57" s="322"/>
      <c r="C57" s="323"/>
    </row>
    <row r="58" ht="12.75" customHeight="1">
      <c r="A58" s="322"/>
      <c r="C58" s="323"/>
    </row>
    <row r="59" ht="12.75" customHeight="1">
      <c r="A59" s="322"/>
      <c r="C59" s="323"/>
    </row>
    <row r="60" ht="12.75" customHeight="1">
      <c r="A60" s="322"/>
      <c r="C60" s="323"/>
    </row>
    <row r="61" ht="12.75" customHeight="1">
      <c r="A61" s="322"/>
      <c r="C61" s="323"/>
    </row>
    <row r="62" ht="12.75" customHeight="1">
      <c r="A62" s="322"/>
      <c r="C62" s="323"/>
    </row>
    <row r="63" ht="12.75" customHeight="1">
      <c r="A63" s="322"/>
      <c r="C63" s="323"/>
    </row>
    <row r="64" ht="12.75" customHeight="1">
      <c r="A64" s="322"/>
      <c r="C64" s="323"/>
    </row>
    <row r="65" ht="12.75" customHeight="1">
      <c r="A65" s="322"/>
      <c r="C65" s="323"/>
    </row>
    <row r="66" ht="12.75" customHeight="1">
      <c r="A66" s="322"/>
      <c r="C66" s="323"/>
    </row>
    <row r="67" ht="12.75" customHeight="1">
      <c r="A67" s="322"/>
      <c r="C67" s="323"/>
    </row>
    <row r="68" ht="12.75" customHeight="1">
      <c r="A68" s="322"/>
      <c r="C68" s="323"/>
    </row>
    <row r="69" ht="12.75" customHeight="1">
      <c r="A69" s="322"/>
      <c r="C69" s="323"/>
    </row>
    <row r="70" ht="12.75" customHeight="1">
      <c r="A70" s="322"/>
      <c r="C70" s="323"/>
    </row>
    <row r="71" ht="12.75" customHeight="1">
      <c r="A71" s="322"/>
      <c r="C71" s="323"/>
    </row>
    <row r="72" ht="12.75" customHeight="1">
      <c r="A72" s="322"/>
      <c r="C72" s="323"/>
    </row>
    <row r="73" ht="12.75" customHeight="1">
      <c r="A73" s="322"/>
      <c r="C73" s="323"/>
    </row>
    <row r="74" ht="12.75" customHeight="1">
      <c r="A74" s="322"/>
      <c r="C74" s="323"/>
    </row>
    <row r="75" ht="12.75" customHeight="1">
      <c r="A75" s="322"/>
      <c r="C75" s="323"/>
    </row>
    <row r="76" ht="12.75" customHeight="1">
      <c r="A76" s="322"/>
      <c r="C76" s="323"/>
    </row>
    <row r="77" ht="12.75" customHeight="1">
      <c r="A77" s="322"/>
      <c r="C77" s="323"/>
    </row>
    <row r="78" ht="12.75" customHeight="1">
      <c r="A78" s="322"/>
      <c r="C78" s="323"/>
    </row>
    <row r="79" ht="12.75" customHeight="1">
      <c r="A79" s="322"/>
      <c r="C79" s="323"/>
    </row>
    <row r="80" ht="12.75" customHeight="1">
      <c r="A80" s="322"/>
      <c r="C80" s="323"/>
    </row>
    <row r="81" ht="12.75" customHeight="1">
      <c r="A81" s="322"/>
      <c r="C81" s="323"/>
    </row>
    <row r="82" ht="12.75" customHeight="1">
      <c r="A82" s="322"/>
      <c r="C82" s="323"/>
    </row>
    <row r="83" ht="12.75" customHeight="1">
      <c r="A83" s="322"/>
      <c r="C83" s="323"/>
    </row>
    <row r="84" ht="12.75" customHeight="1">
      <c r="A84" s="322"/>
      <c r="C84" s="323"/>
    </row>
    <row r="85" ht="12.75" customHeight="1">
      <c r="A85" s="322"/>
      <c r="C85" s="323"/>
    </row>
    <row r="86" ht="12.75" customHeight="1">
      <c r="A86" s="322"/>
      <c r="C86" s="323"/>
    </row>
    <row r="87" ht="12.75" customHeight="1">
      <c r="A87" s="322"/>
      <c r="C87" s="323"/>
    </row>
    <row r="88" ht="12.75" customHeight="1">
      <c r="A88" s="322"/>
      <c r="C88" s="323"/>
    </row>
    <row r="89" ht="12.75" customHeight="1">
      <c r="A89" s="322"/>
      <c r="C89" s="323"/>
    </row>
    <row r="90" ht="12.75" customHeight="1">
      <c r="A90" s="322"/>
      <c r="C90" s="323"/>
    </row>
    <row r="91" ht="12.75" customHeight="1">
      <c r="A91" s="322"/>
      <c r="C91" s="323"/>
    </row>
    <row r="92" ht="12.75" customHeight="1">
      <c r="A92" s="322"/>
      <c r="C92" s="323"/>
    </row>
    <row r="93" ht="12.75" customHeight="1">
      <c r="A93" s="322"/>
      <c r="C93" s="323"/>
    </row>
    <row r="94" ht="12.75" customHeight="1">
      <c r="A94" s="322"/>
      <c r="C94" s="323"/>
    </row>
    <row r="95" ht="12.75" customHeight="1">
      <c r="A95" s="322"/>
      <c r="C95" s="323"/>
    </row>
    <row r="96" ht="12.75" customHeight="1">
      <c r="A96" s="322"/>
      <c r="C96" s="323"/>
    </row>
    <row r="97" ht="12.75" customHeight="1">
      <c r="A97" s="322"/>
      <c r="C97" s="323"/>
    </row>
    <row r="98" ht="12.75" customHeight="1">
      <c r="A98" s="322"/>
      <c r="C98" s="323"/>
    </row>
    <row r="99" ht="12.75" customHeight="1">
      <c r="A99" s="322"/>
      <c r="C99" s="323"/>
    </row>
    <row r="100" ht="12.75" customHeight="1">
      <c r="A100" s="322"/>
      <c r="C100" s="323"/>
    </row>
    <row r="101" ht="12.75" customHeight="1">
      <c r="A101" s="322"/>
      <c r="C101" s="323"/>
    </row>
    <row r="102" ht="12.75" customHeight="1">
      <c r="A102" s="322"/>
      <c r="C102" s="323"/>
    </row>
    <row r="103" ht="12.75" customHeight="1">
      <c r="A103" s="322"/>
      <c r="C103" s="323"/>
    </row>
    <row r="104" ht="12.75" customHeight="1">
      <c r="A104" s="322"/>
      <c r="C104" s="323"/>
    </row>
    <row r="105" ht="12.75" customHeight="1">
      <c r="A105" s="322"/>
      <c r="C105" s="323"/>
    </row>
    <row r="106" ht="12.75" customHeight="1">
      <c r="A106" s="322"/>
      <c r="C106" s="323"/>
    </row>
    <row r="107" ht="12.75" customHeight="1">
      <c r="A107" s="322"/>
      <c r="C107" s="323"/>
    </row>
    <row r="108" ht="12.75" customHeight="1">
      <c r="A108" s="322"/>
      <c r="C108" s="323"/>
    </row>
    <row r="109" ht="12.75" customHeight="1">
      <c r="A109" s="322"/>
      <c r="C109" s="323"/>
    </row>
    <row r="110" ht="12.75" customHeight="1">
      <c r="A110" s="322"/>
      <c r="C110" s="323"/>
    </row>
    <row r="111" ht="12.75" customHeight="1">
      <c r="A111" s="322"/>
      <c r="C111" s="323"/>
    </row>
    <row r="112" ht="12.75" customHeight="1">
      <c r="A112" s="322"/>
      <c r="C112" s="323"/>
    </row>
    <row r="113" ht="12.75" customHeight="1">
      <c r="A113" s="322"/>
      <c r="C113" s="323"/>
    </row>
    <row r="114" ht="12.75" customHeight="1">
      <c r="A114" s="322"/>
      <c r="C114" s="323"/>
    </row>
    <row r="115" ht="12.75" customHeight="1">
      <c r="A115" s="322"/>
      <c r="C115" s="323"/>
    </row>
    <row r="116" ht="12.75" customHeight="1">
      <c r="A116" s="322"/>
      <c r="C116" s="323"/>
    </row>
    <row r="117" ht="12.75" customHeight="1">
      <c r="A117" s="322"/>
      <c r="C117" s="323"/>
    </row>
    <row r="118" ht="12.75" customHeight="1">
      <c r="A118" s="322"/>
      <c r="C118" s="323"/>
    </row>
    <row r="119" ht="12.75" customHeight="1">
      <c r="A119" s="322"/>
      <c r="C119" s="323"/>
    </row>
    <row r="120" ht="12.75" customHeight="1">
      <c r="A120" s="322"/>
      <c r="C120" s="323"/>
    </row>
    <row r="121" ht="12.75" customHeight="1">
      <c r="A121" s="322"/>
      <c r="C121" s="323"/>
    </row>
    <row r="122" ht="12.75" customHeight="1">
      <c r="A122" s="322"/>
      <c r="C122" s="323"/>
    </row>
    <row r="123" ht="12.75" customHeight="1">
      <c r="A123" s="322"/>
      <c r="C123" s="323"/>
    </row>
    <row r="124" ht="12.75" customHeight="1">
      <c r="A124" s="322"/>
      <c r="C124" s="323"/>
    </row>
    <row r="125" ht="12.75" customHeight="1">
      <c r="A125" s="322"/>
      <c r="C125" s="323"/>
    </row>
    <row r="126" ht="12.75" customHeight="1">
      <c r="A126" s="322"/>
      <c r="C126" s="323"/>
    </row>
    <row r="127" ht="12.75" customHeight="1">
      <c r="A127" s="322"/>
      <c r="C127" s="323"/>
    </row>
    <row r="128" ht="12.75" customHeight="1">
      <c r="A128" s="322"/>
      <c r="C128" s="323"/>
    </row>
    <row r="129" ht="12.75" customHeight="1">
      <c r="A129" s="322"/>
      <c r="C129" s="323"/>
    </row>
    <row r="130" ht="12.75" customHeight="1">
      <c r="A130" s="322"/>
      <c r="C130" s="323"/>
    </row>
    <row r="131" ht="12.75" customHeight="1">
      <c r="A131" s="322"/>
      <c r="C131" s="323"/>
    </row>
    <row r="132" ht="12.75" customHeight="1">
      <c r="A132" s="322"/>
      <c r="C132" s="323"/>
    </row>
    <row r="133" ht="12.75" customHeight="1">
      <c r="A133" s="322"/>
      <c r="C133" s="323"/>
    </row>
    <row r="134" ht="12.75" customHeight="1">
      <c r="A134" s="322"/>
      <c r="C134" s="323"/>
    </row>
    <row r="135" ht="12.75" customHeight="1">
      <c r="A135" s="322"/>
      <c r="C135" s="323"/>
    </row>
    <row r="136" ht="12.75" customHeight="1">
      <c r="A136" s="322"/>
      <c r="C136" s="323"/>
    </row>
    <row r="137" ht="12.75" customHeight="1">
      <c r="A137" s="322"/>
      <c r="C137" s="323"/>
    </row>
    <row r="138" ht="12.75" customHeight="1">
      <c r="A138" s="322"/>
      <c r="C138" s="323"/>
    </row>
    <row r="139" ht="12.75" customHeight="1">
      <c r="A139" s="322"/>
      <c r="C139" s="323"/>
    </row>
    <row r="140" ht="12.75" customHeight="1">
      <c r="A140" s="322"/>
      <c r="C140" s="323"/>
    </row>
    <row r="141" ht="12.75" customHeight="1">
      <c r="A141" s="322"/>
      <c r="C141" s="323"/>
    </row>
    <row r="142" ht="12.75" customHeight="1">
      <c r="A142" s="322"/>
      <c r="C142" s="323"/>
    </row>
    <row r="143" ht="12.75" customHeight="1">
      <c r="A143" s="322"/>
      <c r="C143" s="323"/>
    </row>
    <row r="144" ht="12.75" customHeight="1">
      <c r="A144" s="322"/>
      <c r="C144" s="323"/>
    </row>
    <row r="145" ht="12.75" customHeight="1">
      <c r="A145" s="322"/>
      <c r="C145" s="323"/>
    </row>
    <row r="146" ht="12.75" customHeight="1">
      <c r="A146" s="322"/>
      <c r="C146" s="323"/>
    </row>
    <row r="147" ht="12.75" customHeight="1">
      <c r="A147" s="322"/>
      <c r="C147" s="323"/>
    </row>
    <row r="148" ht="12.75" customHeight="1">
      <c r="A148" s="322"/>
      <c r="C148" s="323"/>
    </row>
    <row r="149" ht="12.75" customHeight="1">
      <c r="A149" s="322"/>
      <c r="C149" s="323"/>
    </row>
    <row r="150" ht="12.75" customHeight="1">
      <c r="A150" s="322"/>
      <c r="C150" s="323"/>
    </row>
    <row r="151" ht="12.75" customHeight="1">
      <c r="A151" s="322"/>
      <c r="C151" s="323"/>
    </row>
    <row r="152" ht="12.75" customHeight="1">
      <c r="A152" s="322"/>
      <c r="C152" s="323"/>
    </row>
    <row r="153" ht="12.75" customHeight="1">
      <c r="A153" s="322"/>
      <c r="C153" s="323"/>
    </row>
    <row r="154" ht="12.75" customHeight="1">
      <c r="A154" s="322"/>
      <c r="C154" s="323"/>
    </row>
    <row r="155" ht="12.75" customHeight="1">
      <c r="A155" s="322"/>
      <c r="C155" s="323"/>
    </row>
    <row r="156" ht="12.75" customHeight="1">
      <c r="A156" s="322"/>
      <c r="C156" s="323"/>
    </row>
    <row r="157" ht="12.75" customHeight="1">
      <c r="A157" s="322"/>
      <c r="C157" s="323"/>
    </row>
    <row r="158" ht="12.75" customHeight="1">
      <c r="A158" s="322"/>
      <c r="C158" s="323"/>
    </row>
    <row r="159" ht="12.75" customHeight="1">
      <c r="A159" s="322"/>
      <c r="C159" s="323"/>
    </row>
    <row r="160" ht="12.75" customHeight="1">
      <c r="A160" s="322"/>
      <c r="C160" s="323"/>
    </row>
    <row r="161" ht="12.75" customHeight="1">
      <c r="A161" s="322"/>
      <c r="C161" s="323"/>
    </row>
    <row r="162" ht="12.75" customHeight="1">
      <c r="A162" s="322"/>
      <c r="C162" s="323"/>
    </row>
    <row r="163" ht="12.75" customHeight="1">
      <c r="A163" s="322"/>
      <c r="C163" s="323"/>
    </row>
    <row r="164" ht="12.75" customHeight="1">
      <c r="A164" s="322"/>
      <c r="C164" s="323"/>
    </row>
    <row r="165" ht="12.75" customHeight="1">
      <c r="A165" s="322"/>
      <c r="C165" s="323"/>
    </row>
    <row r="166" ht="12.75" customHeight="1">
      <c r="A166" s="322"/>
      <c r="C166" s="323"/>
    </row>
    <row r="167" ht="12.75" customHeight="1">
      <c r="A167" s="322"/>
      <c r="C167" s="323"/>
    </row>
    <row r="168" ht="12.75" customHeight="1">
      <c r="A168" s="322"/>
      <c r="C168" s="323"/>
    </row>
    <row r="169" ht="12.75" customHeight="1">
      <c r="A169" s="322"/>
      <c r="C169" s="323"/>
    </row>
    <row r="170" ht="12.75" customHeight="1">
      <c r="A170" s="322"/>
      <c r="C170" s="323"/>
    </row>
    <row r="171" ht="12.75" customHeight="1">
      <c r="A171" s="322"/>
      <c r="C171" s="323"/>
    </row>
    <row r="172" ht="12.75" customHeight="1">
      <c r="A172" s="322"/>
      <c r="C172" s="323"/>
    </row>
    <row r="173" ht="12.75" customHeight="1">
      <c r="A173" s="322"/>
      <c r="C173" s="323"/>
    </row>
    <row r="174" ht="12.75" customHeight="1">
      <c r="A174" s="322"/>
      <c r="C174" s="323"/>
    </row>
    <row r="175" ht="12.75" customHeight="1">
      <c r="A175" s="322"/>
      <c r="C175" s="323"/>
    </row>
    <row r="176" ht="12.75" customHeight="1">
      <c r="A176" s="322"/>
      <c r="C176" s="323"/>
    </row>
    <row r="177" ht="12.75" customHeight="1">
      <c r="A177" s="322"/>
      <c r="C177" s="323"/>
    </row>
    <row r="178" ht="12.75" customHeight="1">
      <c r="A178" s="322"/>
      <c r="C178" s="323"/>
    </row>
    <row r="179" ht="12.75" customHeight="1">
      <c r="A179" s="322"/>
      <c r="C179" s="323"/>
    </row>
    <row r="180" ht="12.75" customHeight="1">
      <c r="A180" s="322"/>
      <c r="C180" s="323"/>
    </row>
    <row r="181" ht="12.75" customHeight="1">
      <c r="A181" s="322"/>
      <c r="C181" s="323"/>
    </row>
    <row r="182" ht="12.75" customHeight="1">
      <c r="A182" s="322"/>
      <c r="C182" s="323"/>
    </row>
    <row r="183" ht="12.75" customHeight="1">
      <c r="A183" s="322"/>
      <c r="C183" s="323"/>
    </row>
    <row r="184" ht="12.75" customHeight="1">
      <c r="A184" s="322"/>
      <c r="C184" s="323"/>
    </row>
    <row r="185" ht="12.75" customHeight="1">
      <c r="A185" s="322"/>
      <c r="C185" s="323"/>
    </row>
    <row r="186" ht="12.75" customHeight="1">
      <c r="A186" s="322"/>
      <c r="C186" s="323"/>
    </row>
    <row r="187" ht="12.75" customHeight="1">
      <c r="A187" s="322"/>
      <c r="C187" s="323"/>
    </row>
    <row r="188" ht="12.75" customHeight="1">
      <c r="A188" s="322"/>
      <c r="C188" s="323"/>
    </row>
    <row r="189" ht="12.75" customHeight="1">
      <c r="A189" s="322"/>
      <c r="C189" s="323"/>
    </row>
    <row r="190" ht="12.75" customHeight="1">
      <c r="A190" s="322"/>
      <c r="C190" s="323"/>
    </row>
    <row r="191" ht="12.75" customHeight="1">
      <c r="A191" s="322"/>
      <c r="C191" s="323"/>
    </row>
    <row r="192" ht="12.75" customHeight="1">
      <c r="A192" s="322"/>
      <c r="C192" s="323"/>
    </row>
    <row r="193" ht="12.75" customHeight="1">
      <c r="A193" s="322"/>
      <c r="C193" s="323"/>
    </row>
    <row r="194" ht="12.75" customHeight="1">
      <c r="A194" s="322"/>
      <c r="C194" s="323"/>
    </row>
    <row r="195" ht="12.75" customHeight="1">
      <c r="A195" s="322"/>
      <c r="C195" s="323"/>
    </row>
    <row r="196" ht="12.75" customHeight="1">
      <c r="A196" s="322"/>
      <c r="C196" s="323"/>
    </row>
    <row r="197" ht="12.75" customHeight="1">
      <c r="A197" s="322"/>
      <c r="C197" s="323"/>
    </row>
    <row r="198" ht="12.75" customHeight="1">
      <c r="A198" s="322"/>
      <c r="C198" s="323"/>
    </row>
    <row r="199" ht="12.75" customHeight="1">
      <c r="A199" s="322"/>
      <c r="C199" s="323"/>
    </row>
    <row r="200" ht="12.75" customHeight="1">
      <c r="A200" s="322"/>
      <c r="C200" s="323"/>
    </row>
    <row r="201" ht="12.75" customHeight="1">
      <c r="A201" s="322"/>
      <c r="C201" s="323"/>
    </row>
    <row r="202" ht="12.75" customHeight="1">
      <c r="A202" s="322"/>
      <c r="C202" s="323"/>
    </row>
    <row r="203" ht="12.75" customHeight="1">
      <c r="A203" s="322"/>
      <c r="C203" s="323"/>
    </row>
    <row r="204" ht="12.75" customHeight="1">
      <c r="A204" s="322"/>
      <c r="C204" s="323"/>
    </row>
    <row r="205" ht="12.75" customHeight="1">
      <c r="A205" s="322"/>
      <c r="C205" s="323"/>
    </row>
    <row r="206" ht="12.75" customHeight="1">
      <c r="A206" s="322"/>
      <c r="C206" s="323"/>
    </row>
    <row r="207" ht="12.75" customHeight="1">
      <c r="A207" s="322"/>
      <c r="C207" s="323"/>
    </row>
    <row r="208" ht="12.75" customHeight="1">
      <c r="A208" s="322"/>
      <c r="C208" s="323"/>
    </row>
    <row r="209" ht="12.75" customHeight="1">
      <c r="A209" s="322"/>
      <c r="C209" s="323"/>
    </row>
    <row r="210" ht="12.75" customHeight="1">
      <c r="A210" s="322"/>
      <c r="C210" s="323"/>
    </row>
    <row r="211" ht="12.75" customHeight="1">
      <c r="A211" s="322"/>
      <c r="C211" s="323"/>
    </row>
    <row r="212" ht="12.75" customHeight="1">
      <c r="A212" s="322"/>
      <c r="C212" s="323"/>
    </row>
    <row r="213" ht="12.75" customHeight="1">
      <c r="A213" s="322"/>
      <c r="C213" s="323"/>
    </row>
    <row r="214" ht="12.75" customHeight="1">
      <c r="A214" s="322"/>
      <c r="C214" s="323"/>
    </row>
    <row r="215" ht="12.75" customHeight="1">
      <c r="A215" s="322"/>
      <c r="C215" s="323"/>
    </row>
    <row r="216" ht="12.75" customHeight="1">
      <c r="A216" s="322"/>
      <c r="C216" s="323"/>
    </row>
    <row r="217" ht="12.75" customHeight="1">
      <c r="A217" s="322"/>
      <c r="C217" s="323"/>
    </row>
    <row r="218" ht="12.75" customHeight="1">
      <c r="A218" s="322"/>
      <c r="C218" s="323"/>
    </row>
    <row r="219" ht="12.75" customHeight="1">
      <c r="A219" s="322"/>
      <c r="C219" s="323"/>
    </row>
    <row r="220" ht="12.75" customHeight="1">
      <c r="A220" s="322"/>
      <c r="C220" s="323"/>
    </row>
    <row r="221" ht="12.75" customHeight="1">
      <c r="A221" s="322"/>
      <c r="C221" s="323"/>
    </row>
    <row r="222" ht="12.75" customHeight="1">
      <c r="A222" s="322"/>
      <c r="C222" s="323"/>
    </row>
    <row r="223" ht="12.75" customHeight="1">
      <c r="A223" s="322"/>
      <c r="C223" s="323"/>
    </row>
    <row r="224" ht="12.75" customHeight="1">
      <c r="A224" s="322"/>
      <c r="C224" s="323"/>
    </row>
    <row r="225" ht="12.75" customHeight="1">
      <c r="A225" s="322"/>
      <c r="C225" s="323"/>
    </row>
    <row r="226" ht="12.75" customHeight="1">
      <c r="A226" s="322"/>
      <c r="C226" s="323"/>
    </row>
    <row r="227" ht="12.75" customHeight="1">
      <c r="A227" s="322"/>
      <c r="C227" s="323"/>
    </row>
    <row r="228" ht="12.75" customHeight="1">
      <c r="A228" s="322"/>
      <c r="C228" s="323"/>
    </row>
    <row r="229" ht="12.75" customHeight="1">
      <c r="A229" s="322"/>
      <c r="C229" s="323"/>
    </row>
    <row r="230" ht="12.75" customHeight="1">
      <c r="A230" s="322"/>
      <c r="C230" s="323"/>
    </row>
    <row r="231" ht="12.75" customHeight="1">
      <c r="A231" s="322"/>
      <c r="C231" s="323"/>
    </row>
    <row r="232" ht="12.75" customHeight="1">
      <c r="A232" s="322"/>
      <c r="C232" s="323"/>
    </row>
    <row r="233" ht="12.75" customHeight="1">
      <c r="A233" s="322"/>
      <c r="C233" s="323"/>
    </row>
    <row r="234" ht="12.75" customHeight="1">
      <c r="A234" s="322"/>
      <c r="C234" s="323"/>
    </row>
    <row r="235" ht="12.75" customHeight="1">
      <c r="A235" s="322"/>
      <c r="C235" s="323"/>
    </row>
    <row r="236" ht="12.75" customHeight="1">
      <c r="A236" s="322"/>
      <c r="C236" s="323"/>
    </row>
    <row r="237" ht="12.75" customHeight="1">
      <c r="A237" s="322"/>
      <c r="C237" s="323"/>
    </row>
    <row r="238" ht="12.75" customHeight="1">
      <c r="A238" s="322"/>
      <c r="C238" s="323"/>
    </row>
    <row r="239" ht="12.75" customHeight="1">
      <c r="A239" s="322"/>
      <c r="C239" s="323"/>
    </row>
    <row r="240" ht="12.75" customHeight="1">
      <c r="A240" s="322"/>
      <c r="C240" s="323"/>
    </row>
    <row r="241" ht="12.75" customHeight="1">
      <c r="A241" s="322"/>
      <c r="C241" s="323"/>
    </row>
    <row r="242" ht="12.75" customHeight="1">
      <c r="A242" s="322"/>
      <c r="C242" s="323"/>
    </row>
    <row r="243" ht="12.75" customHeight="1">
      <c r="A243" s="322"/>
      <c r="C243" s="323"/>
    </row>
    <row r="244" ht="12.75" customHeight="1">
      <c r="A244" s="322"/>
      <c r="C244" s="323"/>
    </row>
    <row r="245" ht="12.75" customHeight="1">
      <c r="A245" s="322"/>
      <c r="C245" s="323"/>
    </row>
    <row r="246" ht="12.75" customHeight="1">
      <c r="A246" s="322"/>
      <c r="C246" s="323"/>
    </row>
    <row r="247" ht="12.75" customHeight="1">
      <c r="A247" s="322"/>
      <c r="C247" s="323"/>
    </row>
    <row r="248" ht="12.75" customHeight="1">
      <c r="A248" s="322"/>
      <c r="C248" s="323"/>
    </row>
    <row r="249" ht="12.75" customHeight="1">
      <c r="A249" s="322"/>
      <c r="C249" s="323"/>
    </row>
    <row r="250" ht="12.75" customHeight="1">
      <c r="A250" s="322"/>
      <c r="C250" s="323"/>
    </row>
    <row r="251" ht="12.75" customHeight="1">
      <c r="A251" s="322"/>
      <c r="C251" s="323"/>
    </row>
    <row r="252" ht="12.75" customHeight="1">
      <c r="A252" s="322"/>
      <c r="C252" s="323"/>
    </row>
    <row r="253" ht="12.75" customHeight="1">
      <c r="A253" s="322"/>
      <c r="C253" s="323"/>
    </row>
    <row r="254" ht="12.75" customHeight="1">
      <c r="A254" s="322"/>
      <c r="C254" s="323"/>
    </row>
    <row r="255" ht="12.75" customHeight="1">
      <c r="A255" s="322"/>
      <c r="C255" s="323"/>
    </row>
    <row r="256" ht="12.75" customHeight="1">
      <c r="A256" s="322"/>
      <c r="C256" s="323"/>
    </row>
    <row r="257" ht="12.75" customHeight="1">
      <c r="A257" s="322"/>
      <c r="C257" s="323"/>
    </row>
    <row r="258" ht="12.75" customHeight="1">
      <c r="A258" s="322"/>
      <c r="C258" s="323"/>
    </row>
    <row r="259" ht="12.75" customHeight="1">
      <c r="A259" s="322"/>
      <c r="C259" s="323"/>
    </row>
    <row r="260" ht="12.75" customHeight="1">
      <c r="A260" s="322"/>
      <c r="C260" s="323"/>
    </row>
    <row r="261" ht="12.75" customHeight="1">
      <c r="A261" s="322"/>
      <c r="C261" s="323"/>
    </row>
    <row r="262" ht="12.75" customHeight="1">
      <c r="A262" s="322"/>
      <c r="C262" s="323"/>
    </row>
    <row r="263" ht="12.75" customHeight="1">
      <c r="A263" s="322"/>
      <c r="C263" s="323"/>
    </row>
    <row r="264" ht="12.75" customHeight="1">
      <c r="A264" s="322"/>
      <c r="C264" s="323"/>
    </row>
    <row r="265" ht="12.75" customHeight="1">
      <c r="A265" s="322"/>
      <c r="C265" s="323"/>
    </row>
    <row r="266" ht="12.75" customHeight="1">
      <c r="A266" s="322"/>
      <c r="C266" s="323"/>
    </row>
    <row r="267" ht="12.75" customHeight="1">
      <c r="A267" s="322"/>
      <c r="C267" s="323"/>
    </row>
    <row r="268" ht="12.75" customHeight="1">
      <c r="A268" s="322"/>
      <c r="C268" s="323"/>
    </row>
    <row r="269" ht="12.75" customHeight="1">
      <c r="A269" s="322"/>
      <c r="C269" s="323"/>
    </row>
    <row r="270" ht="12.75" customHeight="1">
      <c r="A270" s="322"/>
      <c r="C270" s="323"/>
    </row>
    <row r="271" ht="12.75" customHeight="1">
      <c r="A271" s="322"/>
      <c r="C271" s="323"/>
    </row>
    <row r="272" ht="12.75" customHeight="1">
      <c r="A272" s="322"/>
      <c r="C272" s="323"/>
    </row>
    <row r="273" ht="12.75" customHeight="1">
      <c r="A273" s="322"/>
      <c r="C273" s="323"/>
    </row>
    <row r="274" ht="12.75" customHeight="1">
      <c r="A274" s="322"/>
      <c r="C274" s="323"/>
    </row>
    <row r="275" ht="12.75" customHeight="1">
      <c r="A275" s="322"/>
      <c r="C275" s="323"/>
    </row>
    <row r="276" ht="12.75" customHeight="1">
      <c r="A276" s="322"/>
      <c r="C276" s="323"/>
    </row>
    <row r="277" ht="12.75" customHeight="1">
      <c r="A277" s="322"/>
      <c r="C277" s="323"/>
    </row>
    <row r="278" ht="12.75" customHeight="1">
      <c r="A278" s="322"/>
      <c r="C278" s="323"/>
    </row>
    <row r="279" ht="12.75" customHeight="1">
      <c r="A279" s="322"/>
      <c r="C279" s="323"/>
    </row>
    <row r="280" ht="12.75" customHeight="1">
      <c r="A280" s="322"/>
      <c r="C280" s="323"/>
    </row>
    <row r="281" ht="12.75" customHeight="1">
      <c r="A281" s="322"/>
      <c r="C281" s="323"/>
    </row>
    <row r="282" ht="12.75" customHeight="1">
      <c r="A282" s="322"/>
      <c r="C282" s="323"/>
    </row>
    <row r="283" ht="12.75" customHeight="1">
      <c r="A283" s="322"/>
      <c r="C283" s="323"/>
    </row>
    <row r="284" ht="12.75" customHeight="1">
      <c r="A284" s="322"/>
      <c r="C284" s="323"/>
    </row>
    <row r="285" ht="12.75" customHeight="1">
      <c r="A285" s="322"/>
      <c r="C285" s="323"/>
    </row>
    <row r="286" ht="12.75" customHeight="1">
      <c r="A286" s="322"/>
      <c r="C286" s="323"/>
    </row>
    <row r="287" ht="12.75" customHeight="1">
      <c r="A287" s="322"/>
      <c r="C287" s="323"/>
    </row>
    <row r="288" ht="12.75" customHeight="1">
      <c r="A288" s="322"/>
      <c r="C288" s="323"/>
    </row>
    <row r="289" ht="12.75" customHeight="1">
      <c r="A289" s="322"/>
      <c r="C289" s="323"/>
    </row>
    <row r="290" ht="12.75" customHeight="1">
      <c r="A290" s="322"/>
      <c r="C290" s="323"/>
    </row>
    <row r="291" ht="12.75" customHeight="1">
      <c r="A291" s="322"/>
      <c r="C291" s="323"/>
    </row>
    <row r="292" ht="12.75" customHeight="1">
      <c r="A292" s="322"/>
      <c r="C292" s="323"/>
    </row>
    <row r="293" ht="12.75" customHeight="1">
      <c r="A293" s="322"/>
      <c r="C293" s="323"/>
    </row>
    <row r="294" ht="12.75" customHeight="1">
      <c r="A294" s="322"/>
      <c r="C294" s="323"/>
    </row>
    <row r="295" ht="12.75" customHeight="1">
      <c r="A295" s="322"/>
      <c r="C295" s="323"/>
    </row>
    <row r="296" ht="12.75" customHeight="1">
      <c r="A296" s="322"/>
      <c r="C296" s="323"/>
    </row>
    <row r="297" ht="12.75" customHeight="1">
      <c r="A297" s="322"/>
      <c r="C297" s="323"/>
    </row>
    <row r="298" ht="12.75" customHeight="1">
      <c r="A298" s="322"/>
      <c r="C298" s="323"/>
    </row>
    <row r="299" ht="12.75" customHeight="1">
      <c r="A299" s="322"/>
      <c r="C299" s="323"/>
    </row>
    <row r="300" ht="12.75" customHeight="1">
      <c r="A300" s="322"/>
      <c r="C300" s="323"/>
    </row>
    <row r="301" ht="12.75" customHeight="1">
      <c r="A301" s="322"/>
      <c r="C301" s="323"/>
    </row>
    <row r="302" ht="12.75" customHeight="1">
      <c r="A302" s="322"/>
      <c r="C302" s="323"/>
    </row>
    <row r="303" ht="12.75" customHeight="1">
      <c r="A303" s="322"/>
      <c r="C303" s="323"/>
    </row>
    <row r="304" ht="12.75" customHeight="1">
      <c r="A304" s="322"/>
      <c r="C304" s="323"/>
    </row>
    <row r="305" ht="12.75" customHeight="1">
      <c r="A305" s="322"/>
      <c r="C305" s="323"/>
    </row>
    <row r="306" ht="12.75" customHeight="1">
      <c r="A306" s="322"/>
      <c r="C306" s="323"/>
    </row>
    <row r="307" ht="12.75" customHeight="1">
      <c r="A307" s="322"/>
      <c r="C307" s="323"/>
    </row>
    <row r="308" ht="12.75" customHeight="1">
      <c r="A308" s="322"/>
      <c r="C308" s="323"/>
    </row>
    <row r="309" ht="12.75" customHeight="1">
      <c r="A309" s="322"/>
      <c r="C309" s="323"/>
    </row>
    <row r="310" ht="12.75" customHeight="1">
      <c r="A310" s="322"/>
      <c r="C310" s="323"/>
    </row>
    <row r="311" ht="12.75" customHeight="1">
      <c r="A311" s="322"/>
      <c r="C311" s="323"/>
    </row>
    <row r="312" ht="12.75" customHeight="1">
      <c r="A312" s="322"/>
      <c r="C312" s="323"/>
    </row>
    <row r="313" ht="12.75" customHeight="1">
      <c r="A313" s="322"/>
      <c r="C313" s="323"/>
    </row>
    <row r="314" ht="12.75" customHeight="1">
      <c r="A314" s="322"/>
      <c r="C314" s="323"/>
    </row>
    <row r="315" ht="12.75" customHeight="1">
      <c r="A315" s="322"/>
      <c r="C315" s="323"/>
    </row>
    <row r="316" ht="12.75" customHeight="1">
      <c r="A316" s="322"/>
      <c r="C316" s="323"/>
    </row>
    <row r="317" ht="12.75" customHeight="1">
      <c r="A317" s="322"/>
      <c r="C317" s="323"/>
    </row>
    <row r="318" ht="12.75" customHeight="1">
      <c r="A318" s="322"/>
      <c r="C318" s="323"/>
    </row>
    <row r="319" ht="12.75" customHeight="1">
      <c r="A319" s="322"/>
      <c r="C319" s="323"/>
    </row>
    <row r="320" ht="12.75" customHeight="1">
      <c r="A320" s="322"/>
      <c r="C320" s="323"/>
    </row>
    <row r="321" ht="12.75" customHeight="1">
      <c r="A321" s="322"/>
      <c r="C321" s="323"/>
    </row>
    <row r="322" ht="12.75" customHeight="1">
      <c r="A322" s="322"/>
      <c r="C322" s="323"/>
    </row>
    <row r="323" ht="12.75" customHeight="1">
      <c r="A323" s="322"/>
      <c r="C323" s="323"/>
    </row>
    <row r="324" ht="12.75" customHeight="1">
      <c r="A324" s="322"/>
      <c r="C324" s="323"/>
    </row>
    <row r="325" ht="12.75" customHeight="1">
      <c r="A325" s="322"/>
      <c r="C325" s="323"/>
    </row>
    <row r="326" ht="12.75" customHeight="1">
      <c r="A326" s="322"/>
      <c r="C326" s="323"/>
    </row>
    <row r="327" ht="12.75" customHeight="1">
      <c r="A327" s="322"/>
      <c r="C327" s="323"/>
    </row>
    <row r="328" ht="12.75" customHeight="1">
      <c r="A328" s="322"/>
      <c r="C328" s="323"/>
    </row>
    <row r="329" ht="12.75" customHeight="1">
      <c r="A329" s="322"/>
      <c r="C329" s="323"/>
    </row>
    <row r="330" ht="12.75" customHeight="1">
      <c r="A330" s="322"/>
      <c r="C330" s="323"/>
    </row>
    <row r="331" ht="12.75" customHeight="1">
      <c r="A331" s="322"/>
      <c r="C331" s="323"/>
    </row>
    <row r="332" ht="12.75" customHeight="1">
      <c r="A332" s="322"/>
      <c r="C332" s="323"/>
    </row>
    <row r="333" ht="12.75" customHeight="1">
      <c r="A333" s="322"/>
      <c r="C333" s="323"/>
    </row>
    <row r="334" ht="12.75" customHeight="1">
      <c r="A334" s="322"/>
      <c r="C334" s="323"/>
    </row>
    <row r="335" ht="12.75" customHeight="1">
      <c r="A335" s="322"/>
      <c r="C335" s="323"/>
    </row>
    <row r="336" ht="12.75" customHeight="1">
      <c r="A336" s="322"/>
      <c r="C336" s="323"/>
    </row>
    <row r="337" ht="12.75" customHeight="1">
      <c r="A337" s="322"/>
      <c r="C337" s="323"/>
    </row>
    <row r="338" ht="12.75" customHeight="1">
      <c r="A338" s="322"/>
      <c r="C338" s="323"/>
    </row>
    <row r="339" ht="12.75" customHeight="1">
      <c r="A339" s="322"/>
      <c r="C339" s="323"/>
    </row>
    <row r="340" ht="12.75" customHeight="1">
      <c r="A340" s="322"/>
      <c r="C340" s="323"/>
    </row>
    <row r="341" ht="12.75" customHeight="1">
      <c r="A341" s="322"/>
      <c r="C341" s="323"/>
    </row>
    <row r="342" ht="12.75" customHeight="1">
      <c r="A342" s="322"/>
      <c r="C342" s="323"/>
    </row>
    <row r="343" ht="12.75" customHeight="1">
      <c r="A343" s="322"/>
      <c r="C343" s="323"/>
    </row>
    <row r="344" ht="12.75" customHeight="1">
      <c r="A344" s="322"/>
      <c r="C344" s="323"/>
    </row>
    <row r="345" ht="12.75" customHeight="1">
      <c r="A345" s="322"/>
      <c r="C345" s="323"/>
    </row>
    <row r="346" ht="12.75" customHeight="1">
      <c r="A346" s="322"/>
      <c r="C346" s="323"/>
    </row>
    <row r="347" ht="12.75" customHeight="1">
      <c r="A347" s="322"/>
      <c r="C347" s="323"/>
    </row>
    <row r="348" ht="12.75" customHeight="1">
      <c r="A348" s="322"/>
      <c r="C348" s="323"/>
    </row>
    <row r="349" ht="12.75" customHeight="1">
      <c r="A349" s="322"/>
      <c r="C349" s="323"/>
    </row>
    <row r="350" ht="12.75" customHeight="1">
      <c r="A350" s="322"/>
      <c r="C350" s="323"/>
    </row>
    <row r="351" ht="12.75" customHeight="1">
      <c r="A351" s="322"/>
      <c r="C351" s="323"/>
    </row>
    <row r="352" ht="12.75" customHeight="1">
      <c r="A352" s="322"/>
      <c r="C352" s="323"/>
    </row>
    <row r="353" ht="12.75" customHeight="1">
      <c r="A353" s="322"/>
      <c r="C353" s="323"/>
    </row>
    <row r="354" ht="12.75" customHeight="1">
      <c r="A354" s="322"/>
      <c r="C354" s="323"/>
    </row>
    <row r="355" ht="12.75" customHeight="1">
      <c r="A355" s="322"/>
      <c r="C355" s="323"/>
    </row>
    <row r="356" ht="12.75" customHeight="1">
      <c r="A356" s="322"/>
      <c r="C356" s="323"/>
    </row>
    <row r="357" ht="12.75" customHeight="1">
      <c r="A357" s="322"/>
      <c r="C357" s="323"/>
    </row>
    <row r="358" ht="12.75" customHeight="1">
      <c r="A358" s="322"/>
      <c r="C358" s="323"/>
    </row>
    <row r="359" ht="12.75" customHeight="1">
      <c r="A359" s="322"/>
      <c r="C359" s="323"/>
    </row>
    <row r="360" ht="12.75" customHeight="1">
      <c r="A360" s="322"/>
      <c r="C360" s="323"/>
    </row>
    <row r="361" ht="12.75" customHeight="1">
      <c r="A361" s="322"/>
      <c r="C361" s="323"/>
    </row>
    <row r="362" ht="12.75" customHeight="1">
      <c r="A362" s="322"/>
      <c r="C362" s="323"/>
    </row>
    <row r="363" ht="12.75" customHeight="1">
      <c r="A363" s="322"/>
      <c r="C363" s="323"/>
    </row>
    <row r="364" ht="12.75" customHeight="1">
      <c r="A364" s="322"/>
      <c r="C364" s="323"/>
    </row>
    <row r="365" ht="12.75" customHeight="1">
      <c r="A365" s="322"/>
      <c r="C365" s="323"/>
    </row>
    <row r="366" ht="12.75" customHeight="1">
      <c r="A366" s="322"/>
      <c r="C366" s="323"/>
    </row>
    <row r="367" ht="12.75" customHeight="1">
      <c r="A367" s="322"/>
      <c r="C367" s="323"/>
    </row>
    <row r="368" ht="12.75" customHeight="1">
      <c r="A368" s="322"/>
      <c r="C368" s="323"/>
    </row>
    <row r="369" ht="12.75" customHeight="1">
      <c r="A369" s="322"/>
      <c r="C369" s="323"/>
    </row>
    <row r="370" ht="12.75" customHeight="1">
      <c r="A370" s="322"/>
      <c r="C370" s="323"/>
    </row>
    <row r="371" ht="12.75" customHeight="1">
      <c r="A371" s="322"/>
      <c r="C371" s="323"/>
    </row>
    <row r="372" ht="12.75" customHeight="1">
      <c r="A372" s="322"/>
      <c r="C372" s="323"/>
    </row>
    <row r="373" ht="12.75" customHeight="1">
      <c r="A373" s="322"/>
      <c r="C373" s="323"/>
    </row>
    <row r="374" ht="12.75" customHeight="1">
      <c r="A374" s="322"/>
      <c r="C374" s="323"/>
    </row>
    <row r="375" ht="12.75" customHeight="1">
      <c r="A375" s="322"/>
      <c r="C375" s="323"/>
    </row>
    <row r="376" ht="12.75" customHeight="1">
      <c r="A376" s="322"/>
      <c r="C376" s="323"/>
    </row>
    <row r="377" ht="12.75" customHeight="1">
      <c r="A377" s="322"/>
      <c r="C377" s="323"/>
    </row>
    <row r="378" ht="12.75" customHeight="1">
      <c r="A378" s="322"/>
      <c r="C378" s="323"/>
    </row>
    <row r="379" ht="12.75" customHeight="1">
      <c r="A379" s="322"/>
      <c r="C379" s="323"/>
    </row>
    <row r="380" ht="12.75" customHeight="1">
      <c r="A380" s="322"/>
      <c r="C380" s="323"/>
    </row>
    <row r="381" ht="12.75" customHeight="1">
      <c r="A381" s="322"/>
      <c r="C381" s="323"/>
    </row>
    <row r="382" ht="12.75" customHeight="1">
      <c r="A382" s="322"/>
      <c r="C382" s="323"/>
    </row>
    <row r="383" ht="12.75" customHeight="1">
      <c r="A383" s="322"/>
      <c r="C383" s="323"/>
    </row>
    <row r="384" ht="12.75" customHeight="1">
      <c r="A384" s="322"/>
      <c r="C384" s="323"/>
    </row>
    <row r="385" ht="12.75" customHeight="1">
      <c r="A385" s="322"/>
      <c r="C385" s="323"/>
    </row>
    <row r="386" ht="12.75" customHeight="1">
      <c r="A386" s="322"/>
      <c r="C386" s="323"/>
    </row>
    <row r="387" ht="12.75" customHeight="1">
      <c r="A387" s="322"/>
      <c r="C387" s="323"/>
    </row>
    <row r="388" ht="12.75" customHeight="1">
      <c r="A388" s="322"/>
      <c r="C388" s="323"/>
    </row>
    <row r="389" ht="12.75" customHeight="1">
      <c r="A389" s="322"/>
      <c r="C389" s="323"/>
    </row>
    <row r="390" ht="12.75" customHeight="1">
      <c r="A390" s="322"/>
      <c r="C390" s="323"/>
    </row>
    <row r="391" ht="12.75" customHeight="1">
      <c r="A391" s="322"/>
      <c r="C391" s="323"/>
    </row>
    <row r="392" ht="12.75" customHeight="1">
      <c r="A392" s="322"/>
      <c r="C392" s="323"/>
    </row>
    <row r="393" ht="12.75" customHeight="1">
      <c r="A393" s="322"/>
      <c r="C393" s="323"/>
    </row>
    <row r="394" ht="12.75" customHeight="1">
      <c r="A394" s="322"/>
      <c r="C394" s="323"/>
    </row>
    <row r="395" ht="12.75" customHeight="1">
      <c r="A395" s="322"/>
      <c r="C395" s="323"/>
    </row>
    <row r="396" ht="12.75" customHeight="1">
      <c r="A396" s="322"/>
      <c r="C396" s="323"/>
    </row>
    <row r="397" ht="12.75" customHeight="1">
      <c r="A397" s="322"/>
      <c r="C397" s="323"/>
    </row>
    <row r="398" ht="12.75" customHeight="1">
      <c r="A398" s="322"/>
      <c r="C398" s="323"/>
    </row>
    <row r="399" ht="12.75" customHeight="1">
      <c r="A399" s="322"/>
      <c r="C399" s="323"/>
    </row>
    <row r="400" ht="12.75" customHeight="1">
      <c r="A400" s="322"/>
      <c r="C400" s="323"/>
    </row>
    <row r="401" ht="12.75" customHeight="1">
      <c r="A401" s="322"/>
      <c r="C401" s="323"/>
    </row>
    <row r="402" ht="12.75" customHeight="1">
      <c r="A402" s="322"/>
      <c r="C402" s="323"/>
    </row>
    <row r="403" ht="12.75" customHeight="1">
      <c r="A403" s="322"/>
      <c r="C403" s="323"/>
    </row>
    <row r="404" ht="12.75" customHeight="1">
      <c r="A404" s="322"/>
      <c r="C404" s="323"/>
    </row>
    <row r="405" ht="12.75" customHeight="1">
      <c r="A405" s="322"/>
      <c r="C405" s="323"/>
    </row>
    <row r="406" ht="12.75" customHeight="1">
      <c r="A406" s="322"/>
      <c r="C406" s="323"/>
    </row>
    <row r="407" ht="12.75" customHeight="1">
      <c r="A407" s="322"/>
      <c r="C407" s="323"/>
    </row>
    <row r="408" ht="12.75" customHeight="1">
      <c r="A408" s="322"/>
      <c r="C408" s="323"/>
    </row>
    <row r="409" ht="12.75" customHeight="1">
      <c r="A409" s="322"/>
      <c r="C409" s="323"/>
    </row>
    <row r="410" ht="12.75" customHeight="1">
      <c r="A410" s="322"/>
      <c r="C410" s="323"/>
    </row>
    <row r="411" ht="12.75" customHeight="1">
      <c r="A411" s="322"/>
      <c r="C411" s="323"/>
    </row>
    <row r="412" ht="12.75" customHeight="1">
      <c r="A412" s="322"/>
      <c r="C412" s="323"/>
    </row>
    <row r="413" ht="12.75" customHeight="1">
      <c r="A413" s="322"/>
      <c r="C413" s="323"/>
    </row>
    <row r="414" ht="12.75" customHeight="1">
      <c r="A414" s="322"/>
      <c r="C414" s="323"/>
    </row>
    <row r="415" ht="12.75" customHeight="1">
      <c r="A415" s="322"/>
      <c r="C415" s="323"/>
    </row>
    <row r="416" ht="12.75" customHeight="1">
      <c r="A416" s="322"/>
      <c r="C416" s="323"/>
    </row>
    <row r="417" ht="12.75" customHeight="1">
      <c r="A417" s="322"/>
      <c r="C417" s="323"/>
    </row>
    <row r="418" ht="12.75" customHeight="1">
      <c r="A418" s="322"/>
      <c r="C418" s="323"/>
    </row>
    <row r="419" ht="12.75" customHeight="1">
      <c r="A419" s="322"/>
      <c r="C419" s="323"/>
    </row>
    <row r="420" ht="12.75" customHeight="1">
      <c r="A420" s="322"/>
      <c r="C420" s="323"/>
    </row>
    <row r="421" ht="12.75" customHeight="1">
      <c r="A421" s="322"/>
      <c r="C421" s="323"/>
    </row>
    <row r="422" ht="12.75" customHeight="1">
      <c r="A422" s="322"/>
      <c r="C422" s="323"/>
    </row>
    <row r="423" ht="12.75" customHeight="1">
      <c r="A423" s="322"/>
      <c r="C423" s="323"/>
    </row>
    <row r="424" ht="12.75" customHeight="1">
      <c r="A424" s="322"/>
      <c r="C424" s="323"/>
    </row>
    <row r="425" ht="12.75" customHeight="1">
      <c r="A425" s="322"/>
      <c r="C425" s="323"/>
    </row>
    <row r="426" ht="12.75" customHeight="1">
      <c r="A426" s="322"/>
      <c r="C426" s="323"/>
    </row>
    <row r="427" ht="12.75" customHeight="1">
      <c r="A427" s="322"/>
      <c r="C427" s="323"/>
    </row>
    <row r="428" ht="12.75" customHeight="1">
      <c r="A428" s="322"/>
      <c r="C428" s="323"/>
    </row>
    <row r="429" ht="12.75" customHeight="1">
      <c r="A429" s="322"/>
      <c r="C429" s="323"/>
    </row>
    <row r="430" ht="12.75" customHeight="1">
      <c r="A430" s="322"/>
      <c r="C430" s="323"/>
    </row>
    <row r="431" ht="12.75" customHeight="1">
      <c r="A431" s="322"/>
      <c r="C431" s="323"/>
    </row>
    <row r="432" ht="12.75" customHeight="1">
      <c r="A432" s="322"/>
      <c r="C432" s="323"/>
    </row>
    <row r="433" ht="12.75" customHeight="1">
      <c r="A433" s="322"/>
      <c r="C433" s="323"/>
    </row>
    <row r="434" ht="12.75" customHeight="1">
      <c r="A434" s="322"/>
      <c r="C434" s="323"/>
    </row>
    <row r="435" ht="12.75" customHeight="1">
      <c r="A435" s="322"/>
      <c r="C435" s="323"/>
    </row>
    <row r="436" ht="12.75" customHeight="1">
      <c r="A436" s="322"/>
      <c r="C436" s="323"/>
    </row>
    <row r="437" ht="12.75" customHeight="1">
      <c r="A437" s="322"/>
      <c r="C437" s="323"/>
    </row>
    <row r="438" ht="12.75" customHeight="1">
      <c r="A438" s="322"/>
      <c r="C438" s="323"/>
    </row>
    <row r="439" ht="12.75" customHeight="1">
      <c r="A439" s="322"/>
      <c r="C439" s="323"/>
    </row>
    <row r="440" ht="12.75" customHeight="1">
      <c r="A440" s="322"/>
      <c r="C440" s="323"/>
    </row>
    <row r="441" ht="12.75" customHeight="1">
      <c r="A441" s="322"/>
      <c r="C441" s="323"/>
    </row>
    <row r="442" ht="12.75" customHeight="1">
      <c r="A442" s="322"/>
      <c r="C442" s="323"/>
    </row>
    <row r="443" ht="12.75" customHeight="1">
      <c r="A443" s="322"/>
      <c r="C443" s="323"/>
    </row>
    <row r="444" ht="12.75" customHeight="1">
      <c r="A444" s="322"/>
      <c r="C444" s="323"/>
    </row>
    <row r="445" ht="12.75" customHeight="1">
      <c r="A445" s="322"/>
      <c r="C445" s="323"/>
    </row>
    <row r="446" ht="12.75" customHeight="1">
      <c r="A446" s="322"/>
      <c r="C446" s="323"/>
    </row>
    <row r="447" ht="12.75" customHeight="1">
      <c r="A447" s="322"/>
      <c r="C447" s="323"/>
    </row>
    <row r="448" ht="12.75" customHeight="1">
      <c r="A448" s="322"/>
      <c r="C448" s="323"/>
    </row>
    <row r="449" ht="12.75" customHeight="1">
      <c r="A449" s="322"/>
      <c r="C449" s="323"/>
    </row>
    <row r="450" ht="12.75" customHeight="1">
      <c r="A450" s="322"/>
      <c r="C450" s="323"/>
    </row>
    <row r="451" ht="12.75" customHeight="1">
      <c r="A451" s="322"/>
      <c r="C451" s="323"/>
    </row>
    <row r="452" ht="12.75" customHeight="1">
      <c r="A452" s="322"/>
      <c r="C452" s="323"/>
    </row>
    <row r="453" ht="12.75" customHeight="1">
      <c r="A453" s="322"/>
      <c r="C453" s="323"/>
    </row>
    <row r="454" ht="12.75" customHeight="1">
      <c r="A454" s="322"/>
      <c r="C454" s="323"/>
    </row>
    <row r="455" ht="12.75" customHeight="1">
      <c r="A455" s="322"/>
      <c r="C455" s="323"/>
    </row>
    <row r="456" ht="12.75" customHeight="1">
      <c r="A456" s="322"/>
      <c r="C456" s="323"/>
    </row>
    <row r="457" ht="12.75" customHeight="1">
      <c r="A457" s="322"/>
      <c r="C457" s="323"/>
    </row>
    <row r="458" ht="12.75" customHeight="1">
      <c r="A458" s="322"/>
      <c r="C458" s="323"/>
    </row>
    <row r="459" ht="12.75" customHeight="1">
      <c r="A459" s="322"/>
      <c r="C459" s="323"/>
    </row>
    <row r="460" ht="12.75" customHeight="1">
      <c r="A460" s="322"/>
      <c r="C460" s="323"/>
    </row>
    <row r="461" ht="12.75" customHeight="1">
      <c r="A461" s="322"/>
      <c r="C461" s="323"/>
    </row>
    <row r="462" ht="12.75" customHeight="1">
      <c r="A462" s="322"/>
      <c r="C462" s="323"/>
    </row>
    <row r="463" ht="12.75" customHeight="1">
      <c r="A463" s="322"/>
      <c r="C463" s="323"/>
    </row>
    <row r="464" ht="12.75" customHeight="1">
      <c r="A464" s="322"/>
      <c r="C464" s="323"/>
    </row>
    <row r="465" ht="12.75" customHeight="1">
      <c r="A465" s="322"/>
      <c r="C465" s="323"/>
    </row>
    <row r="466" ht="12.75" customHeight="1">
      <c r="A466" s="322"/>
      <c r="C466" s="323"/>
    </row>
    <row r="467" ht="12.75" customHeight="1">
      <c r="A467" s="322"/>
      <c r="C467" s="323"/>
    </row>
    <row r="468" ht="12.75" customHeight="1">
      <c r="A468" s="322"/>
      <c r="C468" s="323"/>
    </row>
    <row r="469" ht="12.75" customHeight="1">
      <c r="A469" s="322"/>
      <c r="C469" s="323"/>
    </row>
    <row r="470" ht="12.75" customHeight="1">
      <c r="A470" s="322"/>
      <c r="C470" s="323"/>
    </row>
    <row r="471" ht="12.75" customHeight="1">
      <c r="A471" s="322"/>
      <c r="C471" s="323"/>
    </row>
    <row r="472" ht="12.75" customHeight="1">
      <c r="A472" s="322"/>
      <c r="C472" s="323"/>
    </row>
    <row r="473" ht="12.75" customHeight="1">
      <c r="A473" s="322"/>
      <c r="C473" s="323"/>
    </row>
    <row r="474" ht="12.75" customHeight="1">
      <c r="A474" s="322"/>
      <c r="C474" s="323"/>
    </row>
    <row r="475" ht="12.75" customHeight="1">
      <c r="A475" s="322"/>
      <c r="C475" s="323"/>
    </row>
    <row r="476" ht="12.75" customHeight="1">
      <c r="A476" s="322"/>
      <c r="C476" s="323"/>
    </row>
    <row r="477" ht="12.75" customHeight="1">
      <c r="A477" s="322"/>
      <c r="C477" s="323"/>
    </row>
    <row r="478" ht="12.75" customHeight="1">
      <c r="A478" s="322"/>
      <c r="C478" s="323"/>
    </row>
    <row r="479" ht="12.75" customHeight="1">
      <c r="A479" s="322"/>
      <c r="C479" s="323"/>
    </row>
    <row r="480" ht="12.75" customHeight="1">
      <c r="A480" s="322"/>
      <c r="C480" s="323"/>
    </row>
    <row r="481" ht="12.75" customHeight="1">
      <c r="A481" s="322"/>
      <c r="C481" s="323"/>
    </row>
    <row r="482" ht="12.75" customHeight="1">
      <c r="A482" s="322"/>
      <c r="C482" s="323"/>
    </row>
    <row r="483" ht="12.75" customHeight="1">
      <c r="A483" s="322"/>
      <c r="C483" s="323"/>
    </row>
    <row r="484" ht="12.75" customHeight="1">
      <c r="A484" s="322"/>
      <c r="C484" s="323"/>
    </row>
    <row r="485" ht="12.75" customHeight="1">
      <c r="A485" s="322"/>
      <c r="C485" s="323"/>
    </row>
    <row r="486" ht="12.75" customHeight="1">
      <c r="A486" s="322"/>
      <c r="C486" s="323"/>
    </row>
    <row r="487" ht="12.75" customHeight="1">
      <c r="A487" s="322"/>
      <c r="C487" s="323"/>
    </row>
    <row r="488" ht="12.75" customHeight="1">
      <c r="A488" s="322"/>
      <c r="C488" s="323"/>
    </row>
    <row r="489" ht="12.75" customHeight="1">
      <c r="A489" s="322"/>
      <c r="C489" s="323"/>
    </row>
    <row r="490" ht="12.75" customHeight="1">
      <c r="A490" s="322"/>
      <c r="C490" s="323"/>
    </row>
    <row r="491" ht="12.75" customHeight="1">
      <c r="A491" s="322"/>
      <c r="C491" s="323"/>
    </row>
    <row r="492" ht="12.75" customHeight="1">
      <c r="A492" s="322"/>
      <c r="C492" s="323"/>
    </row>
    <row r="493" ht="12.75" customHeight="1">
      <c r="A493" s="322"/>
      <c r="C493" s="323"/>
    </row>
    <row r="494" ht="12.75" customHeight="1">
      <c r="A494" s="322"/>
      <c r="C494" s="323"/>
    </row>
    <row r="495" ht="12.75" customHeight="1">
      <c r="A495" s="322"/>
      <c r="C495" s="323"/>
    </row>
    <row r="496" ht="12.75" customHeight="1">
      <c r="A496" s="322"/>
      <c r="C496" s="323"/>
    </row>
    <row r="497" ht="12.75" customHeight="1">
      <c r="A497" s="322"/>
      <c r="C497" s="323"/>
    </row>
    <row r="498" ht="12.75" customHeight="1">
      <c r="A498" s="322"/>
      <c r="C498" s="323"/>
    </row>
    <row r="499" ht="12.75" customHeight="1">
      <c r="A499" s="322"/>
      <c r="C499" s="323"/>
    </row>
    <row r="500" ht="12.75" customHeight="1">
      <c r="A500" s="322"/>
      <c r="C500" s="323"/>
    </row>
    <row r="501" ht="12.75" customHeight="1">
      <c r="A501" s="322"/>
      <c r="C501" s="323"/>
    </row>
    <row r="502" ht="12.75" customHeight="1">
      <c r="A502" s="322"/>
      <c r="C502" s="323"/>
    </row>
    <row r="503" ht="12.75" customHeight="1">
      <c r="A503" s="322"/>
      <c r="C503" s="323"/>
    </row>
    <row r="504" ht="12.75" customHeight="1">
      <c r="A504" s="322"/>
      <c r="C504" s="323"/>
    </row>
    <row r="505" ht="12.75" customHeight="1">
      <c r="A505" s="322"/>
      <c r="C505" s="323"/>
    </row>
    <row r="506" ht="12.75" customHeight="1">
      <c r="A506" s="322"/>
      <c r="C506" s="323"/>
    </row>
    <row r="507" ht="12.75" customHeight="1">
      <c r="A507" s="322"/>
      <c r="C507" s="323"/>
    </row>
    <row r="508" ht="12.75" customHeight="1">
      <c r="A508" s="322"/>
      <c r="C508" s="323"/>
    </row>
    <row r="509" ht="12.75" customHeight="1">
      <c r="A509" s="322"/>
      <c r="C509" s="323"/>
    </row>
    <row r="510" ht="12.75" customHeight="1">
      <c r="A510" s="322"/>
      <c r="C510" s="323"/>
    </row>
    <row r="511" ht="12.75" customHeight="1">
      <c r="A511" s="322"/>
      <c r="C511" s="323"/>
    </row>
    <row r="512" ht="12.75" customHeight="1">
      <c r="A512" s="322"/>
      <c r="C512" s="323"/>
    </row>
    <row r="513" ht="12.75" customHeight="1">
      <c r="A513" s="322"/>
      <c r="C513" s="323"/>
    </row>
    <row r="514" ht="12.75" customHeight="1">
      <c r="A514" s="322"/>
      <c r="C514" s="323"/>
    </row>
    <row r="515" ht="12.75" customHeight="1">
      <c r="A515" s="322"/>
      <c r="C515" s="323"/>
    </row>
    <row r="516" ht="12.75" customHeight="1">
      <c r="A516" s="322"/>
      <c r="C516" s="323"/>
    </row>
    <row r="517" ht="12.75" customHeight="1">
      <c r="A517" s="322"/>
      <c r="C517" s="323"/>
    </row>
    <row r="518" ht="12.75" customHeight="1">
      <c r="A518" s="322"/>
      <c r="C518" s="323"/>
    </row>
    <row r="519" ht="12.75" customHeight="1">
      <c r="A519" s="322"/>
      <c r="C519" s="323"/>
    </row>
    <row r="520" ht="12.75" customHeight="1">
      <c r="A520" s="322"/>
      <c r="C520" s="323"/>
    </row>
    <row r="521" ht="12.75" customHeight="1">
      <c r="A521" s="322"/>
      <c r="C521" s="323"/>
    </row>
    <row r="522" ht="12.75" customHeight="1">
      <c r="A522" s="322"/>
      <c r="C522" s="323"/>
    </row>
    <row r="523" ht="12.75" customHeight="1">
      <c r="A523" s="322"/>
      <c r="C523" s="323"/>
    </row>
    <row r="524" ht="12.75" customHeight="1">
      <c r="A524" s="322"/>
      <c r="C524" s="323"/>
    </row>
    <row r="525" ht="12.75" customHeight="1">
      <c r="A525" s="322"/>
      <c r="C525" s="323"/>
    </row>
    <row r="526" ht="12.75" customHeight="1">
      <c r="A526" s="322"/>
      <c r="C526" s="323"/>
    </row>
    <row r="527" ht="12.75" customHeight="1">
      <c r="A527" s="322"/>
      <c r="C527" s="323"/>
    </row>
    <row r="528" ht="12.75" customHeight="1">
      <c r="A528" s="322"/>
      <c r="C528" s="323"/>
    </row>
    <row r="529" ht="12.75" customHeight="1">
      <c r="A529" s="322"/>
      <c r="C529" s="323"/>
    </row>
    <row r="530" ht="12.75" customHeight="1">
      <c r="A530" s="322"/>
      <c r="C530" s="323"/>
    </row>
    <row r="531" ht="12.75" customHeight="1">
      <c r="A531" s="322"/>
      <c r="C531" s="323"/>
    </row>
    <row r="532" ht="12.75" customHeight="1">
      <c r="A532" s="322"/>
      <c r="C532" s="323"/>
    </row>
    <row r="533" ht="12.75" customHeight="1">
      <c r="A533" s="322"/>
      <c r="C533" s="323"/>
    </row>
    <row r="534" ht="12.75" customHeight="1">
      <c r="A534" s="322"/>
      <c r="C534" s="323"/>
    </row>
    <row r="535" ht="12.75" customHeight="1">
      <c r="A535" s="322"/>
      <c r="C535" s="323"/>
    </row>
    <row r="536" ht="12.75" customHeight="1">
      <c r="A536" s="322"/>
      <c r="C536" s="323"/>
    </row>
    <row r="537" ht="12.75" customHeight="1">
      <c r="A537" s="322"/>
      <c r="C537" s="323"/>
    </row>
    <row r="538" ht="12.75" customHeight="1">
      <c r="A538" s="322"/>
      <c r="C538" s="323"/>
    </row>
    <row r="539" ht="12.75" customHeight="1">
      <c r="A539" s="322"/>
      <c r="C539" s="323"/>
    </row>
    <row r="540" ht="12.75" customHeight="1">
      <c r="A540" s="322"/>
      <c r="C540" s="323"/>
    </row>
    <row r="541" ht="12.75" customHeight="1">
      <c r="A541" s="322"/>
      <c r="C541" s="323"/>
    </row>
    <row r="542" ht="12.75" customHeight="1">
      <c r="A542" s="322"/>
      <c r="C542" s="323"/>
    </row>
    <row r="543" ht="12.75" customHeight="1">
      <c r="A543" s="322"/>
      <c r="C543" s="323"/>
    </row>
    <row r="544" ht="12.75" customHeight="1">
      <c r="A544" s="322"/>
      <c r="C544" s="323"/>
    </row>
    <row r="545" ht="12.75" customHeight="1">
      <c r="A545" s="322"/>
      <c r="C545" s="323"/>
    </row>
    <row r="546" ht="12.75" customHeight="1">
      <c r="A546" s="322"/>
      <c r="C546" s="323"/>
    </row>
    <row r="547" ht="12.75" customHeight="1">
      <c r="A547" s="322"/>
      <c r="C547" s="323"/>
    </row>
    <row r="548" ht="12.75" customHeight="1">
      <c r="A548" s="322"/>
      <c r="C548" s="323"/>
    </row>
    <row r="549" ht="12.75" customHeight="1">
      <c r="A549" s="322"/>
      <c r="C549" s="323"/>
    </row>
    <row r="550" ht="12.75" customHeight="1">
      <c r="A550" s="322"/>
      <c r="C550" s="323"/>
    </row>
    <row r="551" ht="12.75" customHeight="1">
      <c r="A551" s="322"/>
      <c r="C551" s="323"/>
    </row>
    <row r="552" ht="12.75" customHeight="1">
      <c r="A552" s="322"/>
      <c r="C552" s="323"/>
    </row>
    <row r="553" ht="12.75" customHeight="1">
      <c r="A553" s="322"/>
      <c r="C553" s="323"/>
    </row>
    <row r="554" ht="12.75" customHeight="1">
      <c r="A554" s="322"/>
      <c r="C554" s="323"/>
    </row>
    <row r="555" ht="12.75" customHeight="1">
      <c r="A555" s="322"/>
      <c r="C555" s="323"/>
    </row>
    <row r="556" ht="12.75" customHeight="1">
      <c r="A556" s="322"/>
      <c r="C556" s="323"/>
    </row>
    <row r="557" ht="12.75" customHeight="1">
      <c r="A557" s="322"/>
      <c r="C557" s="323"/>
    </row>
    <row r="558" ht="12.75" customHeight="1">
      <c r="A558" s="322"/>
      <c r="C558" s="323"/>
    </row>
    <row r="559" ht="12.75" customHeight="1">
      <c r="A559" s="322"/>
      <c r="C559" s="323"/>
    </row>
    <row r="560" ht="12.75" customHeight="1">
      <c r="A560" s="322"/>
      <c r="C560" s="323"/>
    </row>
    <row r="561" ht="12.75" customHeight="1">
      <c r="A561" s="322"/>
      <c r="C561" s="323"/>
    </row>
    <row r="562" ht="12.75" customHeight="1">
      <c r="A562" s="322"/>
      <c r="C562" s="323"/>
    </row>
    <row r="563" ht="12.75" customHeight="1">
      <c r="A563" s="322"/>
      <c r="C563" s="323"/>
    </row>
    <row r="564" ht="12.75" customHeight="1">
      <c r="A564" s="322"/>
      <c r="C564" s="323"/>
    </row>
    <row r="565" ht="12.75" customHeight="1">
      <c r="A565" s="322"/>
      <c r="C565" s="323"/>
    </row>
    <row r="566" ht="12.75" customHeight="1">
      <c r="A566" s="322"/>
      <c r="C566" s="323"/>
    </row>
    <row r="567" ht="12.75" customHeight="1">
      <c r="A567" s="322"/>
      <c r="C567" s="323"/>
    </row>
    <row r="568" ht="12.75" customHeight="1">
      <c r="A568" s="322"/>
      <c r="C568" s="323"/>
    </row>
    <row r="569" ht="12.75" customHeight="1">
      <c r="A569" s="322"/>
      <c r="C569" s="323"/>
    </row>
    <row r="570" ht="12.75" customHeight="1">
      <c r="A570" s="322"/>
      <c r="C570" s="323"/>
    </row>
    <row r="571" ht="12.75" customHeight="1">
      <c r="A571" s="322"/>
      <c r="C571" s="323"/>
    </row>
    <row r="572" ht="12.75" customHeight="1">
      <c r="A572" s="322"/>
      <c r="C572" s="323"/>
    </row>
    <row r="573" ht="12.75" customHeight="1">
      <c r="A573" s="322"/>
      <c r="C573" s="323"/>
    </row>
    <row r="574" ht="12.75" customHeight="1">
      <c r="A574" s="322"/>
      <c r="C574" s="323"/>
    </row>
    <row r="575" ht="12.75" customHeight="1">
      <c r="A575" s="322"/>
      <c r="C575" s="323"/>
    </row>
    <row r="576" ht="12.75" customHeight="1">
      <c r="A576" s="322"/>
      <c r="C576" s="323"/>
    </row>
    <row r="577" ht="12.75" customHeight="1">
      <c r="A577" s="322"/>
      <c r="C577" s="323"/>
    </row>
    <row r="578" ht="12.75" customHeight="1">
      <c r="A578" s="322"/>
      <c r="C578" s="323"/>
    </row>
    <row r="579" ht="12.75" customHeight="1">
      <c r="A579" s="322"/>
      <c r="C579" s="323"/>
    </row>
    <row r="580" ht="12.75" customHeight="1">
      <c r="A580" s="322"/>
      <c r="C580" s="323"/>
    </row>
    <row r="581" ht="12.75" customHeight="1">
      <c r="A581" s="322"/>
      <c r="C581" s="323"/>
    </row>
    <row r="582" ht="12.75" customHeight="1">
      <c r="A582" s="322"/>
      <c r="C582" s="323"/>
    </row>
    <row r="583" ht="12.75" customHeight="1">
      <c r="A583" s="322"/>
      <c r="C583" s="323"/>
    </row>
    <row r="584" ht="12.75" customHeight="1">
      <c r="A584" s="322"/>
      <c r="C584" s="323"/>
    </row>
    <row r="585" ht="12.75" customHeight="1">
      <c r="A585" s="322"/>
      <c r="C585" s="323"/>
    </row>
    <row r="586" ht="12.75" customHeight="1">
      <c r="A586" s="322"/>
      <c r="C586" s="323"/>
    </row>
    <row r="587" ht="12.75" customHeight="1">
      <c r="A587" s="322"/>
      <c r="C587" s="323"/>
    </row>
    <row r="588" ht="12.75" customHeight="1">
      <c r="A588" s="322"/>
      <c r="C588" s="323"/>
    </row>
    <row r="589" ht="12.75" customHeight="1">
      <c r="A589" s="322"/>
      <c r="C589" s="323"/>
    </row>
    <row r="590" ht="12.75" customHeight="1">
      <c r="A590" s="322"/>
      <c r="C590" s="323"/>
    </row>
    <row r="591" ht="12.75" customHeight="1">
      <c r="A591" s="322"/>
      <c r="C591" s="323"/>
    </row>
    <row r="592" ht="12.75" customHeight="1">
      <c r="A592" s="322"/>
      <c r="C592" s="323"/>
    </row>
    <row r="593" ht="12.75" customHeight="1">
      <c r="A593" s="322"/>
      <c r="C593" s="323"/>
    </row>
    <row r="594" ht="12.75" customHeight="1">
      <c r="A594" s="322"/>
      <c r="C594" s="323"/>
    </row>
    <row r="595" ht="12.75" customHeight="1">
      <c r="A595" s="322"/>
      <c r="C595" s="323"/>
    </row>
    <row r="596" ht="12.75" customHeight="1">
      <c r="A596" s="322"/>
      <c r="C596" s="323"/>
    </row>
    <row r="597" ht="12.75" customHeight="1">
      <c r="A597" s="322"/>
      <c r="C597" s="323"/>
    </row>
    <row r="598" ht="12.75" customHeight="1">
      <c r="A598" s="322"/>
      <c r="C598" s="323"/>
    </row>
    <row r="599" ht="12.75" customHeight="1">
      <c r="A599" s="322"/>
      <c r="C599" s="323"/>
    </row>
    <row r="600" ht="12.75" customHeight="1">
      <c r="A600" s="322"/>
      <c r="C600" s="323"/>
    </row>
    <row r="601" ht="12.75" customHeight="1">
      <c r="A601" s="322"/>
      <c r="C601" s="323"/>
    </row>
    <row r="602" ht="12.75" customHeight="1">
      <c r="A602" s="322"/>
      <c r="C602" s="323"/>
    </row>
    <row r="603" ht="12.75" customHeight="1">
      <c r="A603" s="322"/>
      <c r="C603" s="323"/>
    </row>
    <row r="604" ht="12.75" customHeight="1">
      <c r="A604" s="322"/>
      <c r="C604" s="323"/>
    </row>
    <row r="605" ht="12.75" customHeight="1">
      <c r="A605" s="322"/>
      <c r="C605" s="323"/>
    </row>
    <row r="606" ht="12.75" customHeight="1">
      <c r="A606" s="322"/>
      <c r="C606" s="323"/>
    </row>
    <row r="607" ht="12.75" customHeight="1">
      <c r="A607" s="322"/>
      <c r="C607" s="323"/>
    </row>
    <row r="608" ht="12.75" customHeight="1">
      <c r="A608" s="322"/>
      <c r="C608" s="323"/>
    </row>
    <row r="609" ht="12.75" customHeight="1">
      <c r="A609" s="322"/>
      <c r="C609" s="323"/>
    </row>
    <row r="610" ht="12.75" customHeight="1">
      <c r="A610" s="322"/>
      <c r="C610" s="323"/>
    </row>
    <row r="611" ht="12.75" customHeight="1">
      <c r="A611" s="322"/>
      <c r="C611" s="323"/>
    </row>
    <row r="612" ht="12.75" customHeight="1">
      <c r="A612" s="322"/>
      <c r="C612" s="323"/>
    </row>
    <row r="613" ht="12.75" customHeight="1">
      <c r="A613" s="322"/>
      <c r="C613" s="323"/>
    </row>
    <row r="614" ht="12.75" customHeight="1">
      <c r="A614" s="322"/>
      <c r="C614" s="323"/>
    </row>
    <row r="615" ht="12.75" customHeight="1">
      <c r="A615" s="322"/>
      <c r="C615" s="323"/>
    </row>
    <row r="616" ht="12.75" customHeight="1">
      <c r="A616" s="322"/>
      <c r="C616" s="323"/>
    </row>
    <row r="617" ht="12.75" customHeight="1">
      <c r="A617" s="322"/>
      <c r="C617" s="323"/>
    </row>
    <row r="618" ht="12.75" customHeight="1">
      <c r="A618" s="322"/>
      <c r="C618" s="323"/>
    </row>
    <row r="619" ht="12.75" customHeight="1">
      <c r="A619" s="322"/>
      <c r="C619" s="323"/>
    </row>
    <row r="620" ht="12.75" customHeight="1">
      <c r="A620" s="322"/>
      <c r="C620" s="323"/>
    </row>
    <row r="621" ht="12.75" customHeight="1">
      <c r="A621" s="322"/>
      <c r="C621" s="323"/>
    </row>
    <row r="622" ht="12.75" customHeight="1">
      <c r="A622" s="322"/>
      <c r="C622" s="323"/>
    </row>
    <row r="623" ht="12.75" customHeight="1">
      <c r="A623" s="322"/>
      <c r="C623" s="323"/>
    </row>
    <row r="624" ht="12.75" customHeight="1">
      <c r="A624" s="322"/>
      <c r="C624" s="323"/>
    </row>
    <row r="625" ht="12.75" customHeight="1">
      <c r="A625" s="322"/>
      <c r="C625" s="323"/>
    </row>
    <row r="626" ht="12.75" customHeight="1">
      <c r="A626" s="322"/>
      <c r="C626" s="323"/>
    </row>
    <row r="627" ht="12.75" customHeight="1">
      <c r="A627" s="322"/>
      <c r="C627" s="323"/>
    </row>
    <row r="628" ht="12.75" customHeight="1">
      <c r="A628" s="322"/>
      <c r="C628" s="323"/>
    </row>
    <row r="629" ht="12.75" customHeight="1">
      <c r="A629" s="322"/>
      <c r="C629" s="323"/>
    </row>
    <row r="630" ht="12.75" customHeight="1">
      <c r="A630" s="322"/>
      <c r="C630" s="323"/>
    </row>
    <row r="631" ht="12.75" customHeight="1">
      <c r="A631" s="322"/>
      <c r="C631" s="323"/>
    </row>
    <row r="632" ht="12.75" customHeight="1">
      <c r="A632" s="322"/>
      <c r="C632" s="323"/>
    </row>
    <row r="633" ht="12.75" customHeight="1">
      <c r="A633" s="322"/>
      <c r="C633" s="323"/>
    </row>
    <row r="634" ht="12.75" customHeight="1">
      <c r="A634" s="322"/>
      <c r="C634" s="323"/>
    </row>
    <row r="635" ht="12.75" customHeight="1">
      <c r="A635" s="322"/>
      <c r="C635" s="323"/>
    </row>
    <row r="636" ht="12.75" customHeight="1">
      <c r="A636" s="322"/>
      <c r="C636" s="323"/>
    </row>
    <row r="637" ht="12.75" customHeight="1">
      <c r="A637" s="322"/>
      <c r="C637" s="323"/>
    </row>
    <row r="638" ht="12.75" customHeight="1">
      <c r="A638" s="322"/>
      <c r="C638" s="323"/>
    </row>
    <row r="639" ht="12.75" customHeight="1">
      <c r="A639" s="322"/>
      <c r="C639" s="323"/>
    </row>
    <row r="640" ht="12.75" customHeight="1">
      <c r="A640" s="322"/>
      <c r="C640" s="323"/>
    </row>
    <row r="641" ht="12.75" customHeight="1">
      <c r="A641" s="322"/>
      <c r="C641" s="323"/>
    </row>
    <row r="642" ht="12.75" customHeight="1">
      <c r="A642" s="322"/>
      <c r="C642" s="323"/>
    </row>
    <row r="643" ht="12.75" customHeight="1">
      <c r="A643" s="322"/>
      <c r="C643" s="323"/>
    </row>
    <row r="644" ht="12.75" customHeight="1">
      <c r="A644" s="322"/>
      <c r="C644" s="323"/>
    </row>
    <row r="645" ht="12.75" customHeight="1">
      <c r="A645" s="322"/>
      <c r="C645" s="323"/>
    </row>
    <row r="646" ht="12.75" customHeight="1">
      <c r="A646" s="322"/>
      <c r="C646" s="323"/>
    </row>
    <row r="647" ht="12.75" customHeight="1">
      <c r="A647" s="322"/>
      <c r="C647" s="323"/>
    </row>
    <row r="648" ht="12.75" customHeight="1">
      <c r="A648" s="322"/>
      <c r="C648" s="323"/>
    </row>
    <row r="649" ht="12.75" customHeight="1">
      <c r="A649" s="322"/>
      <c r="C649" s="323"/>
    </row>
    <row r="650" ht="12.75" customHeight="1">
      <c r="A650" s="322"/>
      <c r="C650" s="323"/>
    </row>
    <row r="651" ht="12.75" customHeight="1">
      <c r="A651" s="322"/>
      <c r="C651" s="323"/>
    </row>
    <row r="652" ht="12.75" customHeight="1">
      <c r="A652" s="322"/>
      <c r="C652" s="323"/>
    </row>
    <row r="653" ht="12.75" customHeight="1">
      <c r="A653" s="322"/>
      <c r="C653" s="323"/>
    </row>
    <row r="654" ht="12.75" customHeight="1">
      <c r="A654" s="322"/>
      <c r="C654" s="323"/>
    </row>
    <row r="655" ht="12.75" customHeight="1">
      <c r="A655" s="322"/>
      <c r="C655" s="323"/>
    </row>
    <row r="656" ht="12.75" customHeight="1">
      <c r="A656" s="322"/>
      <c r="C656" s="323"/>
    </row>
    <row r="657" ht="12.75" customHeight="1">
      <c r="A657" s="322"/>
      <c r="C657" s="323"/>
    </row>
    <row r="658" ht="12.75" customHeight="1">
      <c r="A658" s="322"/>
      <c r="C658" s="323"/>
    </row>
    <row r="659" ht="12.75" customHeight="1">
      <c r="A659" s="322"/>
      <c r="C659" s="323"/>
    </row>
    <row r="660" ht="12.75" customHeight="1">
      <c r="A660" s="322"/>
      <c r="C660" s="323"/>
    </row>
    <row r="661" ht="12.75" customHeight="1">
      <c r="A661" s="322"/>
      <c r="C661" s="323"/>
    </row>
    <row r="662" ht="12.75" customHeight="1">
      <c r="A662" s="322"/>
      <c r="C662" s="323"/>
    </row>
    <row r="663" ht="12.75" customHeight="1">
      <c r="A663" s="322"/>
      <c r="C663" s="323"/>
    </row>
    <row r="664" ht="12.75" customHeight="1">
      <c r="A664" s="322"/>
      <c r="C664" s="323"/>
    </row>
    <row r="665" ht="12.75" customHeight="1">
      <c r="A665" s="322"/>
      <c r="C665" s="323"/>
    </row>
    <row r="666" ht="12.75" customHeight="1">
      <c r="A666" s="322"/>
      <c r="C666" s="323"/>
    </row>
    <row r="667" ht="12.75" customHeight="1">
      <c r="A667" s="322"/>
      <c r="C667" s="323"/>
    </row>
    <row r="668" ht="12.75" customHeight="1">
      <c r="A668" s="322"/>
      <c r="C668" s="323"/>
    </row>
    <row r="669" ht="12.75" customHeight="1">
      <c r="A669" s="322"/>
      <c r="C669" s="323"/>
    </row>
    <row r="670" ht="12.75" customHeight="1">
      <c r="A670" s="322"/>
      <c r="C670" s="323"/>
    </row>
    <row r="671" ht="12.75" customHeight="1">
      <c r="A671" s="322"/>
      <c r="C671" s="323"/>
    </row>
    <row r="672" ht="12.75" customHeight="1">
      <c r="A672" s="322"/>
      <c r="C672" s="323"/>
    </row>
    <row r="673" ht="12.75" customHeight="1">
      <c r="A673" s="322"/>
      <c r="C673" s="323"/>
    </row>
    <row r="674" ht="12.75" customHeight="1">
      <c r="A674" s="322"/>
      <c r="C674" s="323"/>
    </row>
    <row r="675" ht="12.75" customHeight="1">
      <c r="A675" s="322"/>
      <c r="C675" s="323"/>
    </row>
    <row r="676" ht="12.75" customHeight="1">
      <c r="A676" s="322"/>
      <c r="C676" s="323"/>
    </row>
    <row r="677" ht="12.75" customHeight="1">
      <c r="A677" s="322"/>
      <c r="C677" s="323"/>
    </row>
    <row r="678" ht="12.75" customHeight="1">
      <c r="A678" s="322"/>
      <c r="C678" s="323"/>
    </row>
    <row r="679" ht="12.75" customHeight="1">
      <c r="A679" s="322"/>
      <c r="C679" s="323"/>
    </row>
    <row r="680" ht="12.75" customHeight="1">
      <c r="A680" s="322"/>
      <c r="C680" s="323"/>
    </row>
    <row r="681" ht="12.75" customHeight="1">
      <c r="A681" s="322"/>
      <c r="C681" s="323"/>
    </row>
    <row r="682" ht="12.75" customHeight="1">
      <c r="A682" s="322"/>
      <c r="C682" s="323"/>
    </row>
    <row r="683" ht="12.75" customHeight="1">
      <c r="A683" s="322"/>
      <c r="C683" s="323"/>
    </row>
    <row r="684" ht="12.75" customHeight="1">
      <c r="A684" s="322"/>
      <c r="C684" s="323"/>
    </row>
    <row r="685" ht="12.75" customHeight="1">
      <c r="A685" s="322"/>
      <c r="C685" s="323"/>
    </row>
    <row r="686" ht="12.75" customHeight="1">
      <c r="A686" s="322"/>
      <c r="C686" s="323"/>
    </row>
    <row r="687" ht="12.75" customHeight="1">
      <c r="A687" s="322"/>
      <c r="C687" s="323"/>
    </row>
    <row r="688" ht="12.75" customHeight="1">
      <c r="A688" s="322"/>
      <c r="C688" s="323"/>
    </row>
    <row r="689" ht="12.75" customHeight="1">
      <c r="A689" s="322"/>
      <c r="C689" s="323"/>
    </row>
    <row r="690" ht="12.75" customHeight="1">
      <c r="A690" s="322"/>
      <c r="C690" s="323"/>
    </row>
    <row r="691" ht="12.75" customHeight="1">
      <c r="A691" s="322"/>
      <c r="C691" s="323"/>
    </row>
    <row r="692" ht="12.75" customHeight="1">
      <c r="A692" s="322"/>
      <c r="C692" s="323"/>
    </row>
    <row r="693" ht="12.75" customHeight="1">
      <c r="A693" s="322"/>
      <c r="C693" s="323"/>
    </row>
    <row r="694" ht="12.75" customHeight="1">
      <c r="A694" s="322"/>
      <c r="C694" s="323"/>
    </row>
    <row r="695" ht="12.75" customHeight="1">
      <c r="A695" s="322"/>
      <c r="C695" s="323"/>
    </row>
    <row r="696" ht="12.75" customHeight="1">
      <c r="A696" s="322"/>
      <c r="C696" s="323"/>
    </row>
    <row r="697" ht="12.75" customHeight="1">
      <c r="A697" s="322"/>
      <c r="C697" s="323"/>
    </row>
    <row r="698" ht="12.75" customHeight="1">
      <c r="A698" s="322"/>
      <c r="C698" s="323"/>
    </row>
    <row r="699" ht="12.75" customHeight="1">
      <c r="A699" s="322"/>
      <c r="C699" s="323"/>
    </row>
    <row r="700" ht="12.75" customHeight="1">
      <c r="A700" s="322"/>
      <c r="C700" s="323"/>
    </row>
    <row r="701" ht="12.75" customHeight="1">
      <c r="A701" s="322"/>
      <c r="C701" s="323"/>
    </row>
    <row r="702" ht="12.75" customHeight="1">
      <c r="A702" s="322"/>
      <c r="C702" s="323"/>
    </row>
    <row r="703" ht="12.75" customHeight="1">
      <c r="A703" s="322"/>
      <c r="C703" s="323"/>
    </row>
    <row r="704" ht="12.75" customHeight="1">
      <c r="A704" s="322"/>
      <c r="C704" s="323"/>
    </row>
    <row r="705" ht="12.75" customHeight="1">
      <c r="A705" s="322"/>
      <c r="C705" s="323"/>
    </row>
    <row r="706" ht="12.75" customHeight="1">
      <c r="A706" s="322"/>
      <c r="C706" s="323"/>
    </row>
    <row r="707" ht="12.75" customHeight="1">
      <c r="A707" s="322"/>
      <c r="C707" s="323"/>
    </row>
    <row r="708" ht="12.75" customHeight="1">
      <c r="A708" s="322"/>
      <c r="C708" s="323"/>
    </row>
    <row r="709" ht="12.75" customHeight="1">
      <c r="A709" s="322"/>
      <c r="C709" s="323"/>
    </row>
    <row r="710" ht="12.75" customHeight="1">
      <c r="A710" s="322"/>
      <c r="C710" s="323"/>
    </row>
    <row r="711" ht="12.75" customHeight="1">
      <c r="A711" s="322"/>
      <c r="C711" s="323"/>
    </row>
    <row r="712" ht="12.75" customHeight="1">
      <c r="A712" s="322"/>
      <c r="C712" s="323"/>
    </row>
    <row r="713" ht="12.75" customHeight="1">
      <c r="A713" s="322"/>
      <c r="C713" s="323"/>
    </row>
    <row r="714" ht="12.75" customHeight="1">
      <c r="A714" s="322"/>
      <c r="C714" s="323"/>
    </row>
    <row r="715" ht="12.75" customHeight="1">
      <c r="A715" s="322"/>
      <c r="C715" s="323"/>
    </row>
    <row r="716" ht="12.75" customHeight="1">
      <c r="A716" s="322"/>
      <c r="C716" s="323"/>
    </row>
    <row r="717" ht="12.75" customHeight="1">
      <c r="A717" s="322"/>
      <c r="C717" s="323"/>
    </row>
    <row r="718" ht="12.75" customHeight="1">
      <c r="A718" s="322"/>
      <c r="C718" s="323"/>
    </row>
    <row r="719" ht="12.75" customHeight="1">
      <c r="A719" s="322"/>
      <c r="C719" s="323"/>
    </row>
    <row r="720" ht="12.75" customHeight="1">
      <c r="A720" s="322"/>
      <c r="C720" s="323"/>
    </row>
    <row r="721" ht="12.75" customHeight="1">
      <c r="A721" s="322"/>
      <c r="C721" s="323"/>
    </row>
    <row r="722" ht="12.75" customHeight="1">
      <c r="A722" s="322"/>
      <c r="C722" s="323"/>
    </row>
    <row r="723" ht="12.75" customHeight="1">
      <c r="A723" s="322"/>
      <c r="C723" s="323"/>
    </row>
    <row r="724" ht="12.75" customHeight="1">
      <c r="A724" s="322"/>
      <c r="C724" s="323"/>
    </row>
    <row r="725" ht="12.75" customHeight="1">
      <c r="A725" s="322"/>
      <c r="C725" s="323"/>
    </row>
    <row r="726" ht="12.75" customHeight="1">
      <c r="A726" s="322"/>
      <c r="C726" s="323"/>
    </row>
    <row r="727" ht="12.75" customHeight="1">
      <c r="A727" s="322"/>
      <c r="C727" s="323"/>
    </row>
    <row r="728" ht="12.75" customHeight="1">
      <c r="A728" s="322"/>
      <c r="C728" s="323"/>
    </row>
    <row r="729" ht="12.75" customHeight="1">
      <c r="A729" s="322"/>
      <c r="C729" s="323"/>
    </row>
    <row r="730" ht="12.75" customHeight="1">
      <c r="A730" s="322"/>
      <c r="C730" s="323"/>
    </row>
    <row r="731" ht="12.75" customHeight="1">
      <c r="A731" s="322"/>
      <c r="C731" s="323"/>
    </row>
    <row r="732" ht="12.75" customHeight="1">
      <c r="A732" s="322"/>
      <c r="C732" s="323"/>
    </row>
    <row r="733" ht="12.75" customHeight="1">
      <c r="A733" s="322"/>
      <c r="C733" s="323"/>
    </row>
    <row r="734" ht="12.75" customHeight="1">
      <c r="A734" s="322"/>
      <c r="C734" s="323"/>
    </row>
    <row r="735" ht="12.75" customHeight="1">
      <c r="A735" s="322"/>
      <c r="C735" s="323"/>
    </row>
    <row r="736" ht="12.75" customHeight="1">
      <c r="A736" s="322"/>
      <c r="C736" s="323"/>
    </row>
    <row r="737" ht="12.75" customHeight="1">
      <c r="A737" s="322"/>
      <c r="C737" s="323"/>
    </row>
    <row r="738" ht="12.75" customHeight="1">
      <c r="A738" s="322"/>
      <c r="C738" s="323"/>
    </row>
    <row r="739" ht="12.75" customHeight="1">
      <c r="A739" s="322"/>
      <c r="C739" s="323"/>
    </row>
    <row r="740" ht="12.75" customHeight="1">
      <c r="A740" s="322"/>
      <c r="C740" s="323"/>
    </row>
    <row r="741" ht="12.75" customHeight="1">
      <c r="A741" s="322"/>
      <c r="C741" s="323"/>
    </row>
    <row r="742" ht="12.75" customHeight="1">
      <c r="A742" s="322"/>
      <c r="C742" s="323"/>
    </row>
    <row r="743" ht="12.75" customHeight="1">
      <c r="A743" s="322"/>
      <c r="C743" s="323"/>
    </row>
    <row r="744" ht="12.75" customHeight="1">
      <c r="A744" s="322"/>
      <c r="C744" s="323"/>
    </row>
    <row r="745" ht="12.75" customHeight="1">
      <c r="A745" s="322"/>
      <c r="C745" s="323"/>
    </row>
    <row r="746" ht="12.75" customHeight="1">
      <c r="A746" s="322"/>
      <c r="C746" s="323"/>
    </row>
    <row r="747" ht="12.75" customHeight="1">
      <c r="A747" s="322"/>
      <c r="C747" s="323"/>
    </row>
    <row r="748" ht="12.75" customHeight="1">
      <c r="A748" s="322"/>
      <c r="C748" s="323"/>
    </row>
    <row r="749" ht="12.75" customHeight="1">
      <c r="A749" s="322"/>
      <c r="C749" s="323"/>
    </row>
    <row r="750" ht="12.75" customHeight="1">
      <c r="A750" s="322"/>
      <c r="C750" s="323"/>
    </row>
    <row r="751" ht="12.75" customHeight="1">
      <c r="A751" s="322"/>
      <c r="C751" s="323"/>
    </row>
    <row r="752" ht="12.75" customHeight="1">
      <c r="A752" s="322"/>
      <c r="C752" s="323"/>
    </row>
    <row r="753" ht="12.75" customHeight="1">
      <c r="A753" s="322"/>
      <c r="C753" s="323"/>
    </row>
    <row r="754" ht="12.75" customHeight="1">
      <c r="A754" s="322"/>
      <c r="C754" s="323"/>
    </row>
    <row r="755" ht="12.75" customHeight="1">
      <c r="A755" s="322"/>
      <c r="C755" s="323"/>
    </row>
    <row r="756" ht="12.75" customHeight="1">
      <c r="A756" s="322"/>
      <c r="C756" s="323"/>
    </row>
    <row r="757" ht="12.75" customHeight="1">
      <c r="A757" s="322"/>
      <c r="C757" s="323"/>
    </row>
    <row r="758" ht="12.75" customHeight="1">
      <c r="A758" s="322"/>
      <c r="C758" s="323"/>
    </row>
    <row r="759" ht="12.75" customHeight="1">
      <c r="A759" s="322"/>
      <c r="C759" s="323"/>
    </row>
    <row r="760" ht="12.75" customHeight="1">
      <c r="A760" s="322"/>
      <c r="C760" s="323"/>
    </row>
    <row r="761" ht="12.75" customHeight="1">
      <c r="A761" s="322"/>
      <c r="C761" s="323"/>
    </row>
    <row r="762" ht="12.75" customHeight="1">
      <c r="A762" s="322"/>
      <c r="C762" s="323"/>
    </row>
    <row r="763" ht="12.75" customHeight="1">
      <c r="A763" s="322"/>
      <c r="C763" s="323"/>
    </row>
    <row r="764" ht="12.75" customHeight="1">
      <c r="A764" s="322"/>
      <c r="C764" s="323"/>
    </row>
    <row r="765" ht="12.75" customHeight="1">
      <c r="A765" s="322"/>
      <c r="C765" s="323"/>
    </row>
    <row r="766" ht="12.75" customHeight="1">
      <c r="A766" s="322"/>
      <c r="C766" s="323"/>
    </row>
    <row r="767" ht="12.75" customHeight="1">
      <c r="A767" s="322"/>
      <c r="C767" s="323"/>
    </row>
    <row r="768" ht="12.75" customHeight="1">
      <c r="A768" s="322"/>
      <c r="C768" s="323"/>
    </row>
    <row r="769" ht="12.75" customHeight="1">
      <c r="A769" s="322"/>
      <c r="C769" s="323"/>
    </row>
    <row r="770" ht="12.75" customHeight="1">
      <c r="A770" s="322"/>
      <c r="C770" s="323"/>
    </row>
    <row r="771" ht="12.75" customHeight="1">
      <c r="A771" s="322"/>
      <c r="C771" s="323"/>
    </row>
    <row r="772" ht="12.75" customHeight="1">
      <c r="A772" s="322"/>
      <c r="C772" s="323"/>
    </row>
    <row r="773" ht="12.75" customHeight="1">
      <c r="A773" s="322"/>
      <c r="C773" s="323"/>
    </row>
    <row r="774" ht="12.75" customHeight="1">
      <c r="A774" s="322"/>
      <c r="C774" s="323"/>
    </row>
    <row r="775" ht="12.75" customHeight="1">
      <c r="A775" s="322"/>
      <c r="C775" s="323"/>
    </row>
    <row r="776" ht="12.75" customHeight="1">
      <c r="A776" s="322"/>
      <c r="C776" s="323"/>
    </row>
    <row r="777" ht="12.75" customHeight="1">
      <c r="A777" s="322"/>
      <c r="C777" s="323"/>
    </row>
    <row r="778" ht="12.75" customHeight="1">
      <c r="A778" s="322"/>
      <c r="C778" s="323"/>
    </row>
    <row r="779" ht="12.75" customHeight="1">
      <c r="A779" s="322"/>
      <c r="C779" s="323"/>
    </row>
    <row r="780" ht="12.75" customHeight="1">
      <c r="A780" s="322"/>
      <c r="C780" s="323"/>
    </row>
    <row r="781" ht="12.75" customHeight="1">
      <c r="A781" s="322"/>
      <c r="C781" s="323"/>
    </row>
    <row r="782" ht="12.75" customHeight="1">
      <c r="A782" s="322"/>
      <c r="C782" s="323"/>
    </row>
    <row r="783" ht="12.75" customHeight="1">
      <c r="A783" s="322"/>
      <c r="C783" s="323"/>
    </row>
    <row r="784" ht="12.75" customHeight="1">
      <c r="A784" s="322"/>
      <c r="C784" s="323"/>
    </row>
    <row r="785" ht="12.75" customHeight="1">
      <c r="A785" s="322"/>
      <c r="C785" s="323"/>
    </row>
    <row r="786" ht="12.75" customHeight="1">
      <c r="A786" s="322"/>
      <c r="C786" s="323"/>
    </row>
    <row r="787" ht="12.75" customHeight="1">
      <c r="A787" s="322"/>
      <c r="C787" s="323"/>
    </row>
    <row r="788" ht="12.75" customHeight="1">
      <c r="A788" s="322"/>
      <c r="C788" s="323"/>
    </row>
    <row r="789" ht="12.75" customHeight="1">
      <c r="A789" s="322"/>
      <c r="C789" s="323"/>
    </row>
    <row r="790" ht="12.75" customHeight="1">
      <c r="A790" s="322"/>
      <c r="C790" s="323"/>
    </row>
    <row r="791" ht="12.75" customHeight="1">
      <c r="A791" s="322"/>
      <c r="C791" s="323"/>
    </row>
    <row r="792" ht="12.75" customHeight="1">
      <c r="A792" s="322"/>
      <c r="C792" s="323"/>
    </row>
    <row r="793" ht="12.75" customHeight="1">
      <c r="A793" s="322"/>
      <c r="C793" s="323"/>
    </row>
    <row r="794" ht="12.75" customHeight="1">
      <c r="A794" s="322"/>
      <c r="C794" s="323"/>
    </row>
    <row r="795" ht="12.75" customHeight="1">
      <c r="A795" s="322"/>
      <c r="C795" s="323"/>
    </row>
    <row r="796" ht="12.75" customHeight="1">
      <c r="A796" s="322"/>
      <c r="C796" s="323"/>
    </row>
    <row r="797" ht="12.75" customHeight="1">
      <c r="A797" s="322"/>
      <c r="C797" s="323"/>
    </row>
    <row r="798" ht="12.75" customHeight="1">
      <c r="A798" s="322"/>
      <c r="C798" s="323"/>
    </row>
    <row r="799" ht="12.75" customHeight="1">
      <c r="A799" s="322"/>
      <c r="C799" s="323"/>
    </row>
    <row r="800" ht="12.75" customHeight="1">
      <c r="A800" s="322"/>
      <c r="C800" s="323"/>
    </row>
    <row r="801" ht="12.75" customHeight="1">
      <c r="A801" s="322"/>
      <c r="C801" s="323"/>
    </row>
    <row r="802" ht="12.75" customHeight="1">
      <c r="A802" s="322"/>
      <c r="C802" s="323"/>
    </row>
    <row r="803" ht="12.75" customHeight="1">
      <c r="A803" s="322"/>
      <c r="C803" s="323"/>
    </row>
    <row r="804" ht="12.75" customHeight="1">
      <c r="A804" s="322"/>
      <c r="C804" s="323"/>
    </row>
    <row r="805" ht="12.75" customHeight="1">
      <c r="A805" s="322"/>
      <c r="C805" s="323"/>
    </row>
    <row r="806" ht="12.75" customHeight="1">
      <c r="A806" s="322"/>
      <c r="C806" s="323"/>
    </row>
    <row r="807" ht="12.75" customHeight="1">
      <c r="A807" s="322"/>
      <c r="C807" s="323"/>
    </row>
    <row r="808" ht="12.75" customHeight="1">
      <c r="A808" s="322"/>
      <c r="C808" s="323"/>
    </row>
    <row r="809" ht="12.75" customHeight="1">
      <c r="A809" s="322"/>
      <c r="C809" s="323"/>
    </row>
    <row r="810" ht="12.75" customHeight="1">
      <c r="A810" s="322"/>
      <c r="C810" s="323"/>
    </row>
    <row r="811" ht="12.75" customHeight="1">
      <c r="A811" s="322"/>
      <c r="C811" s="323"/>
    </row>
    <row r="812" ht="12.75" customHeight="1">
      <c r="A812" s="322"/>
      <c r="C812" s="323"/>
    </row>
    <row r="813" ht="12.75" customHeight="1">
      <c r="A813" s="322"/>
      <c r="C813" s="323"/>
    </row>
    <row r="814" ht="12.75" customHeight="1">
      <c r="A814" s="322"/>
      <c r="C814" s="323"/>
    </row>
    <row r="815" ht="12.75" customHeight="1">
      <c r="A815" s="322"/>
      <c r="C815" s="323"/>
    </row>
    <row r="816" ht="12.75" customHeight="1">
      <c r="A816" s="322"/>
      <c r="C816" s="323"/>
    </row>
    <row r="817" ht="12.75" customHeight="1">
      <c r="A817" s="322"/>
      <c r="C817" s="323"/>
    </row>
    <row r="818" ht="12.75" customHeight="1">
      <c r="A818" s="322"/>
      <c r="C818" s="323"/>
    </row>
    <row r="819" ht="12.75" customHeight="1">
      <c r="A819" s="322"/>
      <c r="C819" s="323"/>
    </row>
    <row r="820" ht="12.75" customHeight="1">
      <c r="A820" s="322"/>
      <c r="C820" s="323"/>
    </row>
    <row r="821" ht="12.75" customHeight="1">
      <c r="A821" s="322"/>
      <c r="C821" s="323"/>
    </row>
    <row r="822" ht="12.75" customHeight="1">
      <c r="A822" s="322"/>
      <c r="C822" s="323"/>
    </row>
    <row r="823" ht="12.75" customHeight="1">
      <c r="A823" s="322"/>
      <c r="C823" s="323"/>
    </row>
    <row r="824" ht="12.75" customHeight="1">
      <c r="A824" s="322"/>
      <c r="C824" s="323"/>
    </row>
    <row r="825" ht="12.75" customHeight="1">
      <c r="A825" s="322"/>
      <c r="C825" s="323"/>
    </row>
    <row r="826" ht="12.75" customHeight="1">
      <c r="A826" s="322"/>
      <c r="C826" s="323"/>
    </row>
    <row r="827" ht="12.75" customHeight="1">
      <c r="A827" s="322"/>
      <c r="C827" s="323"/>
    </row>
    <row r="828" ht="12.75" customHeight="1">
      <c r="A828" s="322"/>
      <c r="C828" s="323"/>
    </row>
    <row r="829" ht="12.75" customHeight="1">
      <c r="A829" s="322"/>
      <c r="C829" s="323"/>
    </row>
    <row r="830" ht="12.75" customHeight="1">
      <c r="A830" s="322"/>
      <c r="C830" s="323"/>
    </row>
    <row r="831" ht="12.75" customHeight="1">
      <c r="A831" s="322"/>
      <c r="C831" s="323"/>
    </row>
    <row r="832" ht="12.75" customHeight="1">
      <c r="A832" s="322"/>
      <c r="C832" s="323"/>
    </row>
    <row r="833" ht="12.75" customHeight="1">
      <c r="A833" s="322"/>
      <c r="C833" s="323"/>
    </row>
    <row r="834" ht="12.75" customHeight="1">
      <c r="A834" s="322"/>
      <c r="C834" s="323"/>
    </row>
    <row r="835" ht="12.75" customHeight="1">
      <c r="A835" s="322"/>
      <c r="C835" s="323"/>
    </row>
    <row r="836" ht="12.75" customHeight="1">
      <c r="A836" s="322"/>
      <c r="C836" s="323"/>
    </row>
    <row r="837" ht="12.75" customHeight="1">
      <c r="A837" s="322"/>
      <c r="C837" s="323"/>
    </row>
    <row r="838" ht="12.75" customHeight="1">
      <c r="A838" s="322"/>
      <c r="C838" s="323"/>
    </row>
    <row r="839" ht="12.75" customHeight="1">
      <c r="A839" s="322"/>
      <c r="C839" s="323"/>
    </row>
    <row r="840" ht="12.75" customHeight="1">
      <c r="A840" s="322"/>
      <c r="C840" s="323"/>
    </row>
    <row r="841" ht="12.75" customHeight="1">
      <c r="A841" s="322"/>
      <c r="C841" s="323"/>
    </row>
    <row r="842" ht="12.75" customHeight="1">
      <c r="A842" s="322"/>
      <c r="C842" s="323"/>
    </row>
    <row r="843" ht="12.75" customHeight="1">
      <c r="A843" s="322"/>
      <c r="C843" s="323"/>
    </row>
    <row r="844" ht="12.75" customHeight="1">
      <c r="A844" s="322"/>
      <c r="C844" s="323"/>
    </row>
    <row r="845" ht="12.75" customHeight="1">
      <c r="A845" s="322"/>
      <c r="C845" s="323"/>
    </row>
    <row r="846" ht="12.75" customHeight="1">
      <c r="A846" s="322"/>
      <c r="C846" s="323"/>
    </row>
    <row r="847" ht="12.75" customHeight="1">
      <c r="A847" s="322"/>
      <c r="C847" s="323"/>
    </row>
    <row r="848" ht="12.75" customHeight="1">
      <c r="A848" s="322"/>
      <c r="C848" s="323"/>
    </row>
    <row r="849" ht="12.75" customHeight="1">
      <c r="A849" s="322"/>
      <c r="C849" s="323"/>
    </row>
    <row r="850" ht="12.75" customHeight="1">
      <c r="A850" s="322"/>
      <c r="C850" s="323"/>
    </row>
    <row r="851" ht="12.75" customHeight="1">
      <c r="A851" s="322"/>
      <c r="C851" s="323"/>
    </row>
    <row r="852" ht="12.75" customHeight="1">
      <c r="A852" s="322"/>
      <c r="C852" s="323"/>
    </row>
    <row r="853" ht="12.75" customHeight="1">
      <c r="A853" s="322"/>
      <c r="C853" s="323"/>
    </row>
    <row r="854" ht="12.75" customHeight="1">
      <c r="A854" s="322"/>
      <c r="C854" s="323"/>
    </row>
    <row r="855" ht="12.75" customHeight="1">
      <c r="A855" s="322"/>
      <c r="C855" s="323"/>
    </row>
    <row r="856" ht="12.75" customHeight="1">
      <c r="A856" s="322"/>
      <c r="C856" s="323"/>
    </row>
    <row r="857" ht="12.75" customHeight="1">
      <c r="A857" s="322"/>
      <c r="C857" s="323"/>
    </row>
    <row r="858" ht="12.75" customHeight="1">
      <c r="A858" s="322"/>
      <c r="C858" s="323"/>
    </row>
    <row r="859" ht="12.75" customHeight="1">
      <c r="A859" s="322"/>
      <c r="C859" s="323"/>
    </row>
    <row r="860" ht="12.75" customHeight="1">
      <c r="A860" s="322"/>
      <c r="C860" s="323"/>
    </row>
    <row r="861" ht="12.75" customHeight="1">
      <c r="A861" s="322"/>
      <c r="C861" s="323"/>
    </row>
    <row r="862" ht="12.75" customHeight="1">
      <c r="A862" s="322"/>
      <c r="C862" s="323"/>
    </row>
    <row r="863" ht="12.75" customHeight="1">
      <c r="A863" s="322"/>
      <c r="C863" s="323"/>
    </row>
    <row r="864" ht="12.75" customHeight="1">
      <c r="A864" s="322"/>
      <c r="C864" s="323"/>
    </row>
    <row r="865" ht="12.75" customHeight="1">
      <c r="A865" s="322"/>
      <c r="C865" s="323"/>
    </row>
    <row r="866" ht="12.75" customHeight="1">
      <c r="A866" s="322"/>
      <c r="C866" s="323"/>
    </row>
    <row r="867" ht="12.75" customHeight="1">
      <c r="A867" s="322"/>
      <c r="C867" s="323"/>
    </row>
    <row r="868" ht="12.75" customHeight="1">
      <c r="A868" s="322"/>
      <c r="C868" s="323"/>
    </row>
    <row r="869" ht="12.75" customHeight="1">
      <c r="A869" s="322"/>
      <c r="C869" s="323"/>
    </row>
    <row r="870" ht="12.75" customHeight="1">
      <c r="A870" s="322"/>
      <c r="C870" s="323"/>
    </row>
    <row r="871" ht="12.75" customHeight="1">
      <c r="A871" s="322"/>
      <c r="C871" s="323"/>
    </row>
    <row r="872" ht="12.75" customHeight="1">
      <c r="A872" s="322"/>
      <c r="C872" s="323"/>
    </row>
    <row r="873" ht="12.75" customHeight="1">
      <c r="A873" s="322"/>
      <c r="C873" s="323"/>
    </row>
    <row r="874" ht="12.75" customHeight="1">
      <c r="A874" s="322"/>
      <c r="C874" s="323"/>
    </row>
    <row r="875" ht="12.75" customHeight="1">
      <c r="A875" s="322"/>
      <c r="C875" s="323"/>
    </row>
    <row r="876" ht="12.75" customHeight="1">
      <c r="A876" s="322"/>
      <c r="C876" s="323"/>
    </row>
    <row r="877" ht="12.75" customHeight="1">
      <c r="A877" s="322"/>
      <c r="C877" s="323"/>
    </row>
    <row r="878" ht="12.75" customHeight="1">
      <c r="A878" s="322"/>
      <c r="C878" s="323"/>
    </row>
    <row r="879" ht="12.75" customHeight="1">
      <c r="A879" s="322"/>
      <c r="C879" s="323"/>
    </row>
    <row r="880" ht="12.75" customHeight="1">
      <c r="A880" s="322"/>
      <c r="C880" s="323"/>
    </row>
    <row r="881" ht="12.75" customHeight="1">
      <c r="A881" s="322"/>
      <c r="C881" s="323"/>
    </row>
    <row r="882" ht="12.75" customHeight="1">
      <c r="A882" s="322"/>
      <c r="C882" s="323"/>
    </row>
    <row r="883" ht="12.75" customHeight="1">
      <c r="A883" s="322"/>
      <c r="C883" s="323"/>
    </row>
    <row r="884" ht="12.75" customHeight="1">
      <c r="A884" s="322"/>
      <c r="C884" s="323"/>
    </row>
    <row r="885" ht="12.75" customHeight="1">
      <c r="A885" s="322"/>
      <c r="C885" s="323"/>
    </row>
    <row r="886" ht="12.75" customHeight="1">
      <c r="A886" s="322"/>
      <c r="C886" s="323"/>
    </row>
    <row r="887" ht="12.75" customHeight="1">
      <c r="A887" s="322"/>
      <c r="C887" s="323"/>
    </row>
    <row r="888" ht="12.75" customHeight="1">
      <c r="A888" s="322"/>
      <c r="C888" s="323"/>
    </row>
    <row r="889" ht="12.75" customHeight="1">
      <c r="A889" s="322"/>
      <c r="C889" s="323"/>
    </row>
    <row r="890" ht="12.75" customHeight="1">
      <c r="A890" s="322"/>
      <c r="C890" s="323"/>
    </row>
    <row r="891" ht="12.75" customHeight="1">
      <c r="A891" s="322"/>
      <c r="C891" s="323"/>
    </row>
    <row r="892" ht="12.75" customHeight="1">
      <c r="A892" s="322"/>
      <c r="C892" s="323"/>
    </row>
    <row r="893" ht="12.75" customHeight="1">
      <c r="A893" s="322"/>
      <c r="C893" s="323"/>
    </row>
    <row r="894" ht="12.75" customHeight="1">
      <c r="A894" s="322"/>
      <c r="C894" s="323"/>
    </row>
    <row r="895" ht="12.75" customHeight="1">
      <c r="A895" s="322"/>
      <c r="C895" s="323"/>
    </row>
    <row r="896" ht="12.75" customHeight="1">
      <c r="A896" s="322"/>
      <c r="C896" s="323"/>
    </row>
    <row r="897" ht="12.75" customHeight="1">
      <c r="A897" s="322"/>
      <c r="C897" s="323"/>
    </row>
    <row r="898" ht="12.75" customHeight="1">
      <c r="A898" s="322"/>
      <c r="C898" s="323"/>
    </row>
    <row r="899" ht="12.75" customHeight="1">
      <c r="A899" s="322"/>
      <c r="C899" s="323"/>
    </row>
    <row r="900" ht="12.75" customHeight="1">
      <c r="A900" s="322"/>
      <c r="C900" s="323"/>
    </row>
    <row r="901" ht="12.75" customHeight="1">
      <c r="A901" s="322"/>
      <c r="C901" s="323"/>
    </row>
    <row r="902" ht="12.75" customHeight="1">
      <c r="A902" s="322"/>
      <c r="C902" s="323"/>
    </row>
    <row r="903" ht="12.75" customHeight="1">
      <c r="A903" s="322"/>
      <c r="C903" s="323"/>
    </row>
    <row r="904" ht="12.75" customHeight="1">
      <c r="A904" s="322"/>
      <c r="C904" s="323"/>
    </row>
    <row r="905" ht="12.75" customHeight="1">
      <c r="A905" s="322"/>
      <c r="C905" s="323"/>
    </row>
    <row r="906" ht="12.75" customHeight="1">
      <c r="A906" s="322"/>
      <c r="C906" s="323"/>
    </row>
    <row r="907" ht="12.75" customHeight="1">
      <c r="A907" s="322"/>
      <c r="C907" s="323"/>
    </row>
    <row r="908" ht="12.75" customHeight="1">
      <c r="A908" s="322"/>
      <c r="C908" s="323"/>
    </row>
    <row r="909" ht="12.75" customHeight="1">
      <c r="A909" s="322"/>
      <c r="C909" s="323"/>
    </row>
    <row r="910" ht="12.75" customHeight="1">
      <c r="A910" s="322"/>
      <c r="C910" s="323"/>
    </row>
    <row r="911" ht="12.75" customHeight="1">
      <c r="A911" s="322"/>
      <c r="C911" s="323"/>
    </row>
    <row r="912" ht="12.75" customHeight="1">
      <c r="A912" s="322"/>
      <c r="C912" s="323"/>
    </row>
    <row r="913" ht="12.75" customHeight="1">
      <c r="A913" s="322"/>
      <c r="C913" s="323"/>
    </row>
    <row r="914" ht="12.75" customHeight="1">
      <c r="A914" s="322"/>
      <c r="C914" s="323"/>
    </row>
    <row r="915" ht="12.75" customHeight="1">
      <c r="A915" s="322"/>
      <c r="C915" s="323"/>
    </row>
    <row r="916" ht="12.75" customHeight="1">
      <c r="A916" s="322"/>
      <c r="C916" s="323"/>
    </row>
    <row r="917" ht="12.75" customHeight="1">
      <c r="A917" s="322"/>
      <c r="C917" s="323"/>
    </row>
    <row r="918" ht="12.75" customHeight="1">
      <c r="A918" s="322"/>
      <c r="C918" s="323"/>
    </row>
    <row r="919" ht="12.75" customHeight="1">
      <c r="A919" s="322"/>
      <c r="C919" s="323"/>
    </row>
    <row r="920" ht="12.75" customHeight="1">
      <c r="A920" s="322"/>
      <c r="C920" s="323"/>
    </row>
    <row r="921" ht="12.75" customHeight="1">
      <c r="A921" s="322"/>
      <c r="C921" s="323"/>
    </row>
    <row r="922" ht="12.75" customHeight="1">
      <c r="A922" s="322"/>
      <c r="C922" s="323"/>
    </row>
    <row r="923" ht="12.75" customHeight="1">
      <c r="A923" s="322"/>
      <c r="C923" s="323"/>
    </row>
    <row r="924" ht="12.75" customHeight="1">
      <c r="A924" s="322"/>
      <c r="C924" s="323"/>
    </row>
    <row r="925" ht="12.75" customHeight="1">
      <c r="A925" s="322"/>
      <c r="C925" s="323"/>
    </row>
    <row r="926" ht="12.75" customHeight="1">
      <c r="A926" s="322"/>
      <c r="C926" s="323"/>
    </row>
    <row r="927" ht="12.75" customHeight="1">
      <c r="A927" s="322"/>
      <c r="C927" s="323"/>
    </row>
    <row r="928" ht="12.75" customHeight="1">
      <c r="A928" s="322"/>
      <c r="C928" s="323"/>
    </row>
    <row r="929" ht="12.75" customHeight="1">
      <c r="A929" s="322"/>
      <c r="C929" s="323"/>
    </row>
    <row r="930" ht="12.75" customHeight="1">
      <c r="A930" s="322"/>
      <c r="C930" s="323"/>
    </row>
    <row r="931" ht="12.75" customHeight="1">
      <c r="A931" s="322"/>
      <c r="C931" s="323"/>
    </row>
    <row r="932" ht="12.75" customHeight="1">
      <c r="A932" s="322"/>
      <c r="C932" s="323"/>
    </row>
    <row r="933" ht="12.75" customHeight="1">
      <c r="A933" s="322"/>
      <c r="C933" s="323"/>
    </row>
    <row r="934" ht="12.75" customHeight="1">
      <c r="A934" s="322"/>
      <c r="C934" s="323"/>
    </row>
    <row r="935" ht="12.75" customHeight="1">
      <c r="A935" s="322"/>
      <c r="C935" s="323"/>
    </row>
    <row r="936" ht="12.75" customHeight="1">
      <c r="A936" s="322"/>
      <c r="C936" s="323"/>
    </row>
    <row r="937" ht="12.75" customHeight="1">
      <c r="A937" s="322"/>
      <c r="C937" s="323"/>
    </row>
    <row r="938" ht="12.75" customHeight="1">
      <c r="A938" s="322"/>
      <c r="C938" s="323"/>
    </row>
    <row r="939" ht="12.75" customHeight="1">
      <c r="A939" s="322"/>
      <c r="C939" s="323"/>
    </row>
    <row r="940" ht="12.75" customHeight="1">
      <c r="A940" s="322"/>
      <c r="C940" s="323"/>
    </row>
    <row r="941" ht="12.75" customHeight="1">
      <c r="A941" s="322"/>
      <c r="C941" s="323"/>
    </row>
    <row r="942" ht="12.75" customHeight="1">
      <c r="A942" s="322"/>
      <c r="C942" s="323"/>
    </row>
    <row r="943" ht="12.75" customHeight="1">
      <c r="A943" s="322"/>
      <c r="C943" s="323"/>
    </row>
    <row r="944" ht="12.75" customHeight="1">
      <c r="A944" s="322"/>
      <c r="C944" s="323"/>
    </row>
    <row r="945" ht="12.75" customHeight="1">
      <c r="A945" s="322"/>
      <c r="C945" s="323"/>
    </row>
    <row r="946" ht="12.75" customHeight="1">
      <c r="A946" s="322"/>
      <c r="C946" s="323"/>
    </row>
    <row r="947" ht="12.75" customHeight="1">
      <c r="A947" s="322"/>
      <c r="C947" s="323"/>
    </row>
    <row r="948" ht="12.75" customHeight="1">
      <c r="A948" s="322"/>
      <c r="C948" s="323"/>
    </row>
    <row r="949" ht="12.75" customHeight="1">
      <c r="A949" s="322"/>
      <c r="C949" s="323"/>
    </row>
    <row r="950" ht="12.75" customHeight="1">
      <c r="A950" s="322"/>
      <c r="C950" s="323"/>
    </row>
    <row r="951" ht="12.75" customHeight="1">
      <c r="A951" s="322"/>
      <c r="C951" s="323"/>
    </row>
    <row r="952" ht="12.75" customHeight="1">
      <c r="A952" s="322"/>
      <c r="C952" s="323"/>
    </row>
    <row r="953" ht="12.75" customHeight="1">
      <c r="A953" s="322"/>
      <c r="C953" s="323"/>
    </row>
    <row r="954" ht="12.75" customHeight="1">
      <c r="A954" s="322"/>
      <c r="C954" s="323"/>
    </row>
    <row r="955" ht="12.75" customHeight="1">
      <c r="A955" s="322"/>
      <c r="C955" s="323"/>
    </row>
    <row r="956" ht="12.75" customHeight="1">
      <c r="A956" s="322"/>
      <c r="C956" s="323"/>
    </row>
    <row r="957" ht="12.75" customHeight="1">
      <c r="A957" s="322"/>
      <c r="C957" s="323"/>
    </row>
    <row r="958" ht="12.75" customHeight="1">
      <c r="A958" s="322"/>
      <c r="C958" s="323"/>
    </row>
    <row r="959" ht="12.75" customHeight="1">
      <c r="A959" s="322"/>
      <c r="C959" s="323"/>
    </row>
    <row r="960" ht="12.75" customHeight="1">
      <c r="A960" s="322"/>
      <c r="C960" s="323"/>
    </row>
  </sheetData>
  <mergeCells count="47">
    <mergeCell ref="B3:C9"/>
    <mergeCell ref="A11:C11"/>
    <mergeCell ref="A12:A13"/>
    <mergeCell ref="B12:B13"/>
    <mergeCell ref="D11:L11"/>
    <mergeCell ref="E12:F12"/>
    <mergeCell ref="G12:H12"/>
    <mergeCell ref="I12:J12"/>
    <mergeCell ref="K12:L12"/>
    <mergeCell ref="M12:N12"/>
    <mergeCell ref="O12:P12"/>
    <mergeCell ref="D3:H3"/>
    <mergeCell ref="D4:G4"/>
    <mergeCell ref="D5:G5"/>
    <mergeCell ref="D6:G6"/>
    <mergeCell ref="D7:G7"/>
    <mergeCell ref="D8:G8"/>
    <mergeCell ref="D9:G9"/>
    <mergeCell ref="E31:F31"/>
    <mergeCell ref="G31:H31"/>
    <mergeCell ref="I31:J31"/>
    <mergeCell ref="K31:L31"/>
    <mergeCell ref="M31:N31"/>
    <mergeCell ref="O31:P31"/>
    <mergeCell ref="Q31:R31"/>
    <mergeCell ref="E32:F32"/>
    <mergeCell ref="G32:H32"/>
    <mergeCell ref="I32:J32"/>
    <mergeCell ref="K32:L32"/>
    <mergeCell ref="M32:N32"/>
    <mergeCell ref="O32:P32"/>
    <mergeCell ref="Q32:R32"/>
    <mergeCell ref="E34:F34"/>
    <mergeCell ref="G34:H34"/>
    <mergeCell ref="I34:J34"/>
    <mergeCell ref="K34:L34"/>
    <mergeCell ref="M34:N34"/>
    <mergeCell ref="O34:P34"/>
    <mergeCell ref="Q34:R34"/>
    <mergeCell ref="A36:J36"/>
    <mergeCell ref="E33:F33"/>
    <mergeCell ref="G33:H33"/>
    <mergeCell ref="I33:J33"/>
    <mergeCell ref="K33:L33"/>
    <mergeCell ref="M33:N33"/>
    <mergeCell ref="O33:P33"/>
    <mergeCell ref="Q33:R33"/>
  </mergeCells>
  <conditionalFormatting sqref="Q14:Q29">
    <cfRule type="cellIs" dxfId="0" priority="1" operator="equal">
      <formula>"100%"</formula>
    </cfRule>
  </conditionalFormatting>
  <conditionalFormatting sqref="Q14:Q29">
    <cfRule type="cellIs" dxfId="0" priority="2" operator="lessThan">
      <formula>"100%"</formula>
    </cfRule>
  </conditionalFormatting>
  <conditionalFormatting sqref="Q14:Q29">
    <cfRule type="cellIs" dxfId="0" priority="3" operator="greaterThan">
      <formula>"100%"</formula>
    </cfRule>
  </conditionalFormatting>
  <printOptions/>
  <pageMargins bottom="0.75" footer="0.0" header="0.0" left="0.7" right="0.7" top="0.75"/>
  <pageSetup fitToHeight="0" paperSize="9" orientation="landscape"/>
  <drawing r:id="rId1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274E13"/>
    <pageSetUpPr fitToPage="1"/>
  </sheetPr>
  <sheetViews>
    <sheetView workbookViewId="0"/>
  </sheetViews>
  <sheetFormatPr customHeight="1" defaultColWidth="12.63" defaultRowHeight="15.0"/>
  <cols>
    <col customWidth="1" min="1" max="13" width="14.38"/>
    <col customWidth="1" min="14" max="26" width="8.75"/>
  </cols>
  <sheetData>
    <row r="1" ht="12.75" customHeight="1">
      <c r="A1" s="248"/>
      <c r="B1" s="2"/>
      <c r="C1" s="2"/>
      <c r="D1" s="2"/>
      <c r="E1" s="2"/>
      <c r="F1" s="2"/>
      <c r="G1" s="2"/>
      <c r="H1" s="2"/>
      <c r="I1" s="2"/>
      <c r="J1" s="2"/>
      <c r="K1" s="2"/>
    </row>
    <row r="2" ht="12.7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ht="15.75" customHeight="1">
      <c r="A3" s="6"/>
      <c r="B3" s="324"/>
      <c r="C3" s="238"/>
      <c r="D3" s="12"/>
      <c r="E3" s="239" t="s">
        <v>0</v>
      </c>
      <c r="F3" s="14"/>
      <c r="G3" s="14"/>
      <c r="H3" s="14"/>
      <c r="I3" s="15"/>
      <c r="J3" s="23"/>
      <c r="K3" s="4"/>
      <c r="L3" s="4"/>
      <c r="M3" s="4"/>
    </row>
    <row r="4" ht="15.75" customHeight="1">
      <c r="B4" s="324"/>
      <c r="C4" s="17"/>
      <c r="D4" s="18"/>
      <c r="E4" s="325" t="s">
        <v>1</v>
      </c>
      <c r="F4" s="14"/>
      <c r="G4" s="14"/>
      <c r="H4" s="15"/>
      <c r="I4" s="326"/>
      <c r="J4" s="20"/>
      <c r="K4" s="4"/>
      <c r="L4" s="327"/>
      <c r="M4" s="328"/>
    </row>
    <row r="5" ht="15.75" customHeight="1">
      <c r="B5" s="324"/>
      <c r="C5" s="17"/>
      <c r="D5" s="18"/>
      <c r="E5" s="239" t="s">
        <v>3</v>
      </c>
      <c r="F5" s="14"/>
      <c r="G5" s="14"/>
      <c r="H5" s="15"/>
      <c r="I5" s="329"/>
      <c r="J5" s="23"/>
      <c r="K5" s="4"/>
      <c r="L5" s="330"/>
    </row>
    <row r="6" ht="15.75" customHeight="1">
      <c r="B6" s="324"/>
      <c r="C6" s="17"/>
      <c r="D6" s="18"/>
      <c r="E6" s="325" t="s">
        <v>5</v>
      </c>
      <c r="F6" s="14"/>
      <c r="G6" s="14"/>
      <c r="H6" s="15"/>
      <c r="I6" s="326"/>
      <c r="J6" s="20"/>
      <c r="L6" s="331"/>
      <c r="M6" s="332"/>
    </row>
    <row r="7" ht="15.75" customHeight="1">
      <c r="B7" s="324"/>
      <c r="C7" s="17"/>
      <c r="D7" s="18"/>
      <c r="E7" s="325" t="s">
        <v>6</v>
      </c>
      <c r="F7" s="14"/>
      <c r="G7" s="14"/>
      <c r="H7" s="15"/>
      <c r="I7" s="326"/>
      <c r="J7" s="20"/>
      <c r="L7" s="331"/>
      <c r="M7" s="333"/>
    </row>
    <row r="8" ht="12.75" customHeight="1">
      <c r="B8" s="324"/>
      <c r="C8" s="17"/>
      <c r="D8" s="18"/>
      <c r="E8" s="325" t="s">
        <v>8</v>
      </c>
      <c r="F8" s="14"/>
      <c r="G8" s="14"/>
      <c r="H8" s="15"/>
      <c r="I8" s="326"/>
      <c r="J8" s="20"/>
      <c r="K8" s="4"/>
      <c r="L8" s="4"/>
      <c r="M8" s="4"/>
    </row>
    <row r="9" ht="12.75" customHeight="1">
      <c r="B9" s="324"/>
      <c r="C9" s="25"/>
      <c r="D9" s="26"/>
      <c r="E9" s="334" t="s">
        <v>10</v>
      </c>
      <c r="F9" s="14"/>
      <c r="G9" s="14"/>
      <c r="H9" s="15"/>
      <c r="I9" s="326"/>
      <c r="J9" s="20"/>
      <c r="K9" s="4"/>
      <c r="L9" s="4"/>
      <c r="M9" s="4"/>
    </row>
    <row r="10" ht="12.75" customHeight="1">
      <c r="A10" s="247"/>
      <c r="B10" s="247"/>
      <c r="C10" s="247"/>
      <c r="D10" s="247"/>
      <c r="E10" s="247"/>
      <c r="I10" s="247"/>
      <c r="J10" s="247"/>
      <c r="K10" s="247"/>
    </row>
    <row r="11" ht="12.75" customHeight="1">
      <c r="A11" s="248" t="s">
        <v>898</v>
      </c>
      <c r="B11" s="2"/>
      <c r="C11" s="2"/>
      <c r="D11" s="2"/>
      <c r="E11" s="2"/>
      <c r="F11" s="2"/>
      <c r="G11" s="2"/>
      <c r="H11" s="2"/>
      <c r="I11" s="2"/>
      <c r="J11" s="2"/>
      <c r="K11" s="2"/>
    </row>
    <row r="12" ht="12.75" customHeight="1">
      <c r="A12" s="335" t="s">
        <v>899</v>
      </c>
      <c r="B12" s="34"/>
      <c r="C12" s="34"/>
      <c r="D12" s="34"/>
      <c r="E12" s="34"/>
      <c r="F12" s="34"/>
      <c r="G12" s="34"/>
      <c r="H12" s="34"/>
      <c r="I12" s="34"/>
      <c r="J12" s="34"/>
      <c r="K12" s="35"/>
    </row>
    <row r="13" ht="12.75" customHeight="1">
      <c r="A13" s="336" t="s">
        <v>11</v>
      </c>
      <c r="B13" s="337" t="s">
        <v>900</v>
      </c>
      <c r="C13" s="338"/>
      <c r="D13" s="339"/>
      <c r="E13" s="336" t="s">
        <v>901</v>
      </c>
      <c r="F13" s="336" t="s">
        <v>902</v>
      </c>
      <c r="G13" s="336" t="s">
        <v>903</v>
      </c>
      <c r="H13" s="336" t="s">
        <v>904</v>
      </c>
      <c r="I13" s="335" t="s">
        <v>905</v>
      </c>
      <c r="J13" s="34"/>
      <c r="K13" s="35"/>
    </row>
    <row r="14" ht="12.75" customHeight="1">
      <c r="A14" s="41"/>
      <c r="B14" s="340"/>
      <c r="C14" s="341"/>
      <c r="D14" s="342"/>
      <c r="E14" s="41"/>
      <c r="F14" s="41"/>
      <c r="G14" s="41"/>
      <c r="H14" s="41"/>
      <c r="I14" s="343" t="s">
        <v>906</v>
      </c>
      <c r="J14" s="343" t="s">
        <v>907</v>
      </c>
      <c r="K14" s="343" t="s">
        <v>908</v>
      </c>
    </row>
    <row r="15" ht="12.75" customHeight="1">
      <c r="A15" s="344">
        <v>1.0</v>
      </c>
      <c r="B15" s="345" t="s">
        <v>909</v>
      </c>
      <c r="C15" s="34"/>
      <c r="D15" s="35"/>
      <c r="E15" s="346"/>
      <c r="F15" s="347">
        <v>0.03</v>
      </c>
      <c r="G15" s="346"/>
      <c r="H15" s="344" t="str">
        <f t="shared" ref="H15:H19" si="1">IF(AND(F15&gt;=I15,F15&lt;=K15),"OK","DIFERE")</f>
        <v>OK</v>
      </c>
      <c r="I15" s="348">
        <v>0.03</v>
      </c>
      <c r="J15" s="348">
        <v>0.04</v>
      </c>
      <c r="K15" s="348">
        <v>0.055</v>
      </c>
    </row>
    <row r="16" ht="12.75" customHeight="1">
      <c r="A16" s="344">
        <v>2.0</v>
      </c>
      <c r="B16" s="345" t="s">
        <v>910</v>
      </c>
      <c r="C16" s="34"/>
      <c r="D16" s="35"/>
      <c r="E16" s="346"/>
      <c r="F16" s="347">
        <v>0.008</v>
      </c>
      <c r="G16" s="346"/>
      <c r="H16" s="344" t="str">
        <f t="shared" si="1"/>
        <v>OK</v>
      </c>
      <c r="I16" s="348">
        <v>0.008</v>
      </c>
      <c r="J16" s="348">
        <v>0.008</v>
      </c>
      <c r="K16" s="348">
        <v>0.01</v>
      </c>
    </row>
    <row r="17" ht="12.75" customHeight="1">
      <c r="A17" s="344">
        <v>3.0</v>
      </c>
      <c r="B17" s="345" t="s">
        <v>911</v>
      </c>
      <c r="C17" s="34"/>
      <c r="D17" s="35"/>
      <c r="E17" s="346"/>
      <c r="F17" s="347">
        <v>0.0097</v>
      </c>
      <c r="G17" s="346"/>
      <c r="H17" s="344" t="str">
        <f t="shared" si="1"/>
        <v>OK</v>
      </c>
      <c r="I17" s="348">
        <v>0.0097</v>
      </c>
      <c r="J17" s="348">
        <v>0.0127</v>
      </c>
      <c r="K17" s="348">
        <v>0.0127</v>
      </c>
    </row>
    <row r="18" ht="12.75" customHeight="1">
      <c r="A18" s="344">
        <v>4.0</v>
      </c>
      <c r="B18" s="345" t="s">
        <v>912</v>
      </c>
      <c r="C18" s="34"/>
      <c r="D18" s="35"/>
      <c r="E18" s="346"/>
      <c r="F18" s="347">
        <v>0.0059</v>
      </c>
      <c r="G18" s="346"/>
      <c r="H18" s="344" t="str">
        <f t="shared" si="1"/>
        <v>OK</v>
      </c>
      <c r="I18" s="348">
        <v>0.0059</v>
      </c>
      <c r="J18" s="348">
        <v>0.0123</v>
      </c>
      <c r="K18" s="348">
        <v>0.0139</v>
      </c>
    </row>
    <row r="19" ht="12.75" customHeight="1">
      <c r="A19" s="344">
        <v>5.0</v>
      </c>
      <c r="B19" s="345" t="s">
        <v>913</v>
      </c>
      <c r="C19" s="34"/>
      <c r="D19" s="35"/>
      <c r="E19" s="346"/>
      <c r="F19" s="347">
        <v>0.0743</v>
      </c>
      <c r="G19" s="346"/>
      <c r="H19" s="344" t="str">
        <f t="shared" si="1"/>
        <v>OK</v>
      </c>
      <c r="I19" s="348">
        <v>0.0616</v>
      </c>
      <c r="J19" s="348">
        <v>0.074</v>
      </c>
      <c r="K19" s="348">
        <v>0.0896</v>
      </c>
    </row>
    <row r="20" ht="12.75" customHeight="1">
      <c r="A20" s="344">
        <v>6.0</v>
      </c>
      <c r="B20" s="345" t="s">
        <v>914</v>
      </c>
      <c r="C20" s="34"/>
      <c r="D20" s="35"/>
      <c r="E20" s="346"/>
      <c r="F20" s="347">
        <f>SUM(F21:F24)</f>
        <v>0.1015</v>
      </c>
      <c r="G20" s="349" t="s">
        <v>915</v>
      </c>
      <c r="H20" s="338"/>
      <c r="I20" s="338"/>
      <c r="J20" s="338"/>
      <c r="K20" s="339"/>
    </row>
    <row r="21" ht="12.75" customHeight="1">
      <c r="A21" s="350">
        <v>43836.0</v>
      </c>
      <c r="B21" s="345" t="s">
        <v>916</v>
      </c>
      <c r="C21" s="34"/>
      <c r="D21" s="34"/>
      <c r="E21" s="35"/>
      <c r="F21" s="347">
        <v>0.0065</v>
      </c>
      <c r="G21" s="351"/>
      <c r="K21" s="352"/>
    </row>
    <row r="22" ht="12.75" customHeight="1">
      <c r="A22" s="350">
        <v>43867.0</v>
      </c>
      <c r="B22" s="345" t="s">
        <v>917</v>
      </c>
      <c r="C22" s="34"/>
      <c r="D22" s="34"/>
      <c r="E22" s="35"/>
      <c r="F22" s="347">
        <v>0.03</v>
      </c>
      <c r="G22" s="351"/>
      <c r="K22" s="352"/>
    </row>
    <row r="23" ht="12.75" customHeight="1">
      <c r="A23" s="350">
        <v>43896.0</v>
      </c>
      <c r="B23" s="345" t="s">
        <v>918</v>
      </c>
      <c r="C23" s="34"/>
      <c r="D23" s="34"/>
      <c r="E23" s="35"/>
      <c r="F23" s="347">
        <v>0.02</v>
      </c>
      <c r="G23" s="351"/>
      <c r="K23" s="352"/>
    </row>
    <row r="24" ht="12.75" customHeight="1">
      <c r="A24" s="350">
        <v>43927.0</v>
      </c>
      <c r="B24" s="345" t="s">
        <v>919</v>
      </c>
      <c r="C24" s="34"/>
      <c r="D24" s="34"/>
      <c r="E24" s="35"/>
      <c r="F24" s="347">
        <v>0.045</v>
      </c>
      <c r="G24" s="351"/>
      <c r="K24" s="352"/>
    </row>
    <row r="25" ht="12.75" customHeight="1">
      <c r="A25" s="353"/>
      <c r="B25" s="341"/>
      <c r="C25" s="341"/>
      <c r="D25" s="341"/>
      <c r="E25" s="341"/>
      <c r="F25" s="342"/>
      <c r="G25" s="351"/>
      <c r="K25" s="352"/>
    </row>
    <row r="26" ht="12.75" customHeight="1">
      <c r="A26" s="335" t="s">
        <v>920</v>
      </c>
      <c r="B26" s="34"/>
      <c r="C26" s="34"/>
      <c r="D26" s="35"/>
      <c r="E26" s="346"/>
      <c r="F26" s="346"/>
      <c r="G26" s="340"/>
      <c r="H26" s="341"/>
      <c r="I26" s="341"/>
      <c r="J26" s="341"/>
      <c r="K26" s="342"/>
    </row>
    <row r="27" ht="12.75" customHeight="1">
      <c r="A27" s="335" t="s">
        <v>921</v>
      </c>
      <c r="B27" s="34"/>
      <c r="C27" s="34"/>
      <c r="D27" s="35"/>
      <c r="E27" s="346"/>
      <c r="F27" s="346"/>
      <c r="G27" s="345" t="s">
        <v>922</v>
      </c>
      <c r="H27" s="34"/>
      <c r="I27" s="34"/>
      <c r="J27" s="34"/>
      <c r="K27" s="35"/>
    </row>
    <row r="28" ht="12.75" customHeight="1">
      <c r="A28" s="335" t="s">
        <v>923</v>
      </c>
      <c r="B28" s="34"/>
      <c r="C28" s="34"/>
      <c r="D28" s="34"/>
      <c r="E28" s="35"/>
      <c r="F28" s="347">
        <f>(((1+(F15+F16+F17))*(1+F18)*(1+F19))/(1-F20))-1</f>
        <v>0.2600832724</v>
      </c>
      <c r="G28" s="345" t="s">
        <v>924</v>
      </c>
      <c r="H28" s="34"/>
      <c r="I28" s="34"/>
      <c r="J28" s="34"/>
      <c r="K28" s="35"/>
    </row>
    <row r="29" ht="12.75" customHeight="1">
      <c r="A29" s="354"/>
      <c r="B29" s="354"/>
      <c r="C29" s="354"/>
      <c r="D29" s="354"/>
      <c r="E29" s="354"/>
      <c r="F29" s="355"/>
      <c r="G29" s="345" t="s">
        <v>925</v>
      </c>
      <c r="H29" s="34"/>
      <c r="I29" s="34"/>
      <c r="J29" s="34"/>
      <c r="K29" s="35"/>
    </row>
    <row r="30" ht="12.75" customHeight="1">
      <c r="A30" s="356" t="s">
        <v>926</v>
      </c>
      <c r="B30" s="34"/>
      <c r="C30" s="34"/>
      <c r="D30" s="35"/>
      <c r="E30" s="354"/>
      <c r="F30" s="355"/>
      <c r="G30" s="345" t="s">
        <v>927</v>
      </c>
      <c r="H30" s="34"/>
      <c r="I30" s="34"/>
      <c r="J30" s="34"/>
      <c r="K30" s="35"/>
    </row>
    <row r="31" ht="12.75" customHeight="1">
      <c r="A31" s="357" t="s">
        <v>928</v>
      </c>
      <c r="B31" s="347">
        <v>0.2034</v>
      </c>
      <c r="C31" s="347">
        <v>0.2212</v>
      </c>
      <c r="D31" s="347">
        <v>0.25</v>
      </c>
      <c r="E31" s="354"/>
      <c r="F31" s="355"/>
      <c r="G31" s="345" t="s">
        <v>929</v>
      </c>
      <c r="H31" s="34"/>
      <c r="I31" s="34"/>
      <c r="J31" s="34"/>
      <c r="K31" s="35"/>
    </row>
    <row r="32" ht="12.75" customHeight="1">
      <c r="A32" s="357" t="s">
        <v>930</v>
      </c>
      <c r="B32" s="347">
        <v>0.2601</v>
      </c>
      <c r="C32" s="347">
        <v>0.2787</v>
      </c>
      <c r="D32" s="347">
        <v>0.3089</v>
      </c>
      <c r="E32" s="354"/>
      <c r="F32" s="355"/>
      <c r="G32" s="345" t="s">
        <v>931</v>
      </c>
      <c r="H32" s="34"/>
      <c r="I32" s="34"/>
      <c r="J32" s="34"/>
      <c r="K32" s="35"/>
    </row>
    <row r="33" ht="12.75" customHeight="1">
      <c r="A33" s="354"/>
      <c r="B33" s="354"/>
      <c r="C33" s="354"/>
      <c r="D33" s="354"/>
      <c r="E33" s="354"/>
      <c r="F33" s="355"/>
      <c r="G33" s="345" t="s">
        <v>932</v>
      </c>
      <c r="H33" s="34"/>
      <c r="I33" s="34"/>
      <c r="J33" s="34"/>
      <c r="K33" s="35"/>
    </row>
    <row r="34" ht="12.75" customHeight="1">
      <c r="A34" s="353"/>
      <c r="B34" s="353"/>
      <c r="C34" s="353"/>
      <c r="D34" s="353"/>
      <c r="E34" s="353"/>
      <c r="F34" s="358"/>
      <c r="G34" s="345" t="s">
        <v>933</v>
      </c>
      <c r="H34" s="34"/>
      <c r="I34" s="34"/>
      <c r="J34" s="34"/>
      <c r="K34" s="35"/>
    </row>
    <row r="35" ht="12.75" customHeight="1">
      <c r="A35" s="359"/>
      <c r="B35" s="34"/>
      <c r="C35" s="34"/>
      <c r="D35" s="34"/>
      <c r="E35" s="34"/>
      <c r="F35" s="34"/>
      <c r="G35" s="34"/>
      <c r="H35" s="34"/>
      <c r="I35" s="34"/>
      <c r="J35" s="34"/>
      <c r="K35" s="35"/>
    </row>
    <row r="36" ht="12.75" customHeight="1">
      <c r="A36" s="360" t="s">
        <v>934</v>
      </c>
      <c r="B36" s="34"/>
      <c r="C36" s="34"/>
      <c r="D36" s="34"/>
      <c r="E36" s="34"/>
      <c r="F36" s="34"/>
      <c r="G36" s="34"/>
      <c r="H36" s="34"/>
      <c r="I36" s="34"/>
      <c r="J36" s="34"/>
      <c r="K36" s="35"/>
    </row>
    <row r="37" ht="12.75" customHeight="1">
      <c r="A37" s="335" t="s">
        <v>899</v>
      </c>
      <c r="B37" s="34"/>
      <c r="C37" s="34"/>
      <c r="D37" s="34"/>
      <c r="E37" s="34"/>
      <c r="F37" s="34"/>
      <c r="G37" s="34"/>
      <c r="H37" s="34"/>
      <c r="I37" s="34"/>
      <c r="J37" s="34"/>
      <c r="K37" s="35"/>
    </row>
    <row r="38" ht="15.0" customHeight="1">
      <c r="A38" s="336" t="s">
        <v>11</v>
      </c>
      <c r="B38" s="337" t="s">
        <v>900</v>
      </c>
      <c r="C38" s="338"/>
      <c r="D38" s="339"/>
      <c r="E38" s="336" t="s">
        <v>901</v>
      </c>
      <c r="F38" s="336" t="s">
        <v>902</v>
      </c>
      <c r="G38" s="336" t="s">
        <v>903</v>
      </c>
      <c r="H38" s="361" t="s">
        <v>904</v>
      </c>
      <c r="I38" s="335" t="s">
        <v>905</v>
      </c>
      <c r="J38" s="34"/>
      <c r="K38" s="35"/>
    </row>
    <row r="39" ht="12.75" customHeight="1">
      <c r="A39" s="41"/>
      <c r="B39" s="340"/>
      <c r="C39" s="341"/>
      <c r="D39" s="342"/>
      <c r="E39" s="41"/>
      <c r="F39" s="41"/>
      <c r="G39" s="41"/>
      <c r="H39" s="41"/>
      <c r="I39" s="343" t="s">
        <v>906</v>
      </c>
      <c r="J39" s="343" t="s">
        <v>907</v>
      </c>
      <c r="K39" s="343" t="s">
        <v>908</v>
      </c>
    </row>
    <row r="40" ht="12.75" customHeight="1">
      <c r="A40" s="344">
        <v>1.0</v>
      </c>
      <c r="B40" s="345" t="s">
        <v>909</v>
      </c>
      <c r="C40" s="34"/>
      <c r="D40" s="35"/>
      <c r="E40" s="346"/>
      <c r="F40" s="362">
        <v>0.015</v>
      </c>
      <c r="G40" s="346"/>
      <c r="H40" s="344" t="str">
        <f t="shared" ref="H40:H44" si="2">IF(AND(F40&gt;=I40,F40&lt;=K40),"OK","DIFERE")</f>
        <v>OK</v>
      </c>
      <c r="I40" s="348">
        <v>0.015</v>
      </c>
      <c r="J40" s="348">
        <v>0.0345</v>
      </c>
      <c r="K40" s="348">
        <v>0.0449</v>
      </c>
    </row>
    <row r="41" ht="12.75" customHeight="1">
      <c r="A41" s="344">
        <v>2.0</v>
      </c>
      <c r="B41" s="345" t="s">
        <v>910</v>
      </c>
      <c r="C41" s="34"/>
      <c r="D41" s="35"/>
      <c r="E41" s="346"/>
      <c r="F41" s="347">
        <v>0.003</v>
      </c>
      <c r="G41" s="346"/>
      <c r="H41" s="344" t="str">
        <f t="shared" si="2"/>
        <v>OK</v>
      </c>
      <c r="I41" s="348">
        <v>0.003</v>
      </c>
      <c r="J41" s="348">
        <v>0.0048</v>
      </c>
      <c r="K41" s="348">
        <v>0.0082</v>
      </c>
    </row>
    <row r="42" ht="12.75" customHeight="1">
      <c r="A42" s="344">
        <v>3.0</v>
      </c>
      <c r="B42" s="345" t="s">
        <v>911</v>
      </c>
      <c r="C42" s="34"/>
      <c r="D42" s="35"/>
      <c r="E42" s="346"/>
      <c r="F42" s="347">
        <v>0.0056</v>
      </c>
      <c r="G42" s="346"/>
      <c r="H42" s="344" t="str">
        <f t="shared" si="2"/>
        <v>OK</v>
      </c>
      <c r="I42" s="348">
        <v>0.0056</v>
      </c>
      <c r="J42" s="348">
        <v>0.0085</v>
      </c>
      <c r="K42" s="348">
        <v>0.0089</v>
      </c>
    </row>
    <row r="43" ht="12.75" customHeight="1">
      <c r="A43" s="344">
        <v>4.0</v>
      </c>
      <c r="B43" s="345" t="s">
        <v>912</v>
      </c>
      <c r="C43" s="34"/>
      <c r="D43" s="35"/>
      <c r="E43" s="346"/>
      <c r="F43" s="347">
        <v>0.0085</v>
      </c>
      <c r="G43" s="346"/>
      <c r="H43" s="344" t="str">
        <f t="shared" si="2"/>
        <v>OK</v>
      </c>
      <c r="I43" s="348">
        <v>0.0085</v>
      </c>
      <c r="J43" s="348">
        <v>0.0085</v>
      </c>
      <c r="K43" s="348">
        <v>0.0111</v>
      </c>
    </row>
    <row r="44" ht="12.75" customHeight="1">
      <c r="A44" s="344">
        <v>5.0</v>
      </c>
      <c r="B44" s="345" t="s">
        <v>913</v>
      </c>
      <c r="C44" s="34"/>
      <c r="D44" s="35"/>
      <c r="E44" s="346"/>
      <c r="F44" s="362">
        <v>0.0352</v>
      </c>
      <c r="G44" s="346"/>
      <c r="H44" s="344" t="str">
        <f t="shared" si="2"/>
        <v>OK</v>
      </c>
      <c r="I44" s="348">
        <v>0.035</v>
      </c>
      <c r="J44" s="348">
        <v>0.0511</v>
      </c>
      <c r="K44" s="348">
        <v>0.0622</v>
      </c>
    </row>
    <row r="45" ht="12.75" customHeight="1">
      <c r="A45" s="344">
        <v>6.0</v>
      </c>
      <c r="B45" s="345" t="s">
        <v>914</v>
      </c>
      <c r="C45" s="34"/>
      <c r="D45" s="35"/>
      <c r="E45" s="346"/>
      <c r="F45" s="347">
        <f>SUM(F46:F49)</f>
        <v>0.0815</v>
      </c>
      <c r="G45" s="349" t="s">
        <v>915</v>
      </c>
      <c r="H45" s="338"/>
      <c r="I45" s="338"/>
      <c r="J45" s="338"/>
      <c r="K45" s="339"/>
    </row>
    <row r="46" ht="12.75" customHeight="1">
      <c r="A46" s="350">
        <v>43836.0</v>
      </c>
      <c r="B46" s="345" t="s">
        <v>916</v>
      </c>
      <c r="C46" s="34"/>
      <c r="D46" s="34"/>
      <c r="E46" s="35"/>
      <c r="F46" s="347">
        <v>0.0065</v>
      </c>
      <c r="G46" s="351"/>
      <c r="K46" s="352"/>
    </row>
    <row r="47" ht="12.75" customHeight="1">
      <c r="A47" s="350">
        <v>43867.0</v>
      </c>
      <c r="B47" s="345" t="s">
        <v>917</v>
      </c>
      <c r="C47" s="34"/>
      <c r="D47" s="34"/>
      <c r="E47" s="35"/>
      <c r="F47" s="347">
        <v>0.03</v>
      </c>
      <c r="G47" s="351"/>
      <c r="K47" s="352"/>
    </row>
    <row r="48" ht="12.75" customHeight="1">
      <c r="A48" s="350">
        <v>43896.0</v>
      </c>
      <c r="B48" s="345" t="s">
        <v>918</v>
      </c>
      <c r="C48" s="34"/>
      <c r="D48" s="34"/>
      <c r="E48" s="35"/>
      <c r="F48" s="362">
        <v>0.0</v>
      </c>
      <c r="G48" s="351"/>
      <c r="K48" s="352"/>
    </row>
    <row r="49" ht="12.75" customHeight="1">
      <c r="A49" s="350">
        <v>43927.0</v>
      </c>
      <c r="B49" s="345" t="s">
        <v>919</v>
      </c>
      <c r="C49" s="34"/>
      <c r="D49" s="34"/>
      <c r="E49" s="35"/>
      <c r="F49" s="347">
        <v>0.045</v>
      </c>
      <c r="G49" s="351"/>
      <c r="K49" s="352"/>
    </row>
    <row r="50" ht="12.75" customHeight="1">
      <c r="A50" s="353"/>
      <c r="B50" s="341"/>
      <c r="C50" s="341"/>
      <c r="D50" s="341"/>
      <c r="E50" s="341"/>
      <c r="F50" s="342"/>
      <c r="G50" s="351"/>
      <c r="K50" s="352"/>
    </row>
    <row r="51" ht="12.75" customHeight="1">
      <c r="A51" s="335" t="s">
        <v>920</v>
      </c>
      <c r="B51" s="34"/>
      <c r="C51" s="34"/>
      <c r="D51" s="35"/>
      <c r="E51" s="346"/>
      <c r="F51" s="346"/>
      <c r="G51" s="340"/>
      <c r="H51" s="341"/>
      <c r="I51" s="341"/>
      <c r="J51" s="341"/>
      <c r="K51" s="342"/>
    </row>
    <row r="52" ht="12.75" customHeight="1">
      <c r="A52" s="335" t="s">
        <v>921</v>
      </c>
      <c r="B52" s="34"/>
      <c r="C52" s="34"/>
      <c r="D52" s="35"/>
      <c r="E52" s="346"/>
      <c r="F52" s="346"/>
      <c r="G52" s="345" t="s">
        <v>922</v>
      </c>
      <c r="H52" s="34"/>
      <c r="I52" s="34"/>
      <c r="J52" s="34"/>
      <c r="K52" s="35"/>
    </row>
    <row r="53" ht="12.75" customHeight="1">
      <c r="A53" s="335" t="s">
        <v>923</v>
      </c>
      <c r="B53" s="34"/>
      <c r="C53" s="34"/>
      <c r="D53" s="34"/>
      <c r="E53" s="35"/>
      <c r="F53" s="347">
        <f>(((1+(F40+F41+F42))*(1+F43)*(1+F44))/(1-F45))-1</f>
        <v>0.1634595331</v>
      </c>
      <c r="G53" s="345" t="s">
        <v>924</v>
      </c>
      <c r="H53" s="34"/>
      <c r="I53" s="34"/>
      <c r="J53" s="34"/>
      <c r="K53" s="35"/>
    </row>
    <row r="54" ht="12.75" customHeight="1">
      <c r="A54" s="363"/>
      <c r="B54" s="363"/>
      <c r="C54" s="363"/>
      <c r="D54" s="363"/>
      <c r="E54" s="354"/>
      <c r="F54" s="355"/>
      <c r="G54" s="345" t="s">
        <v>925</v>
      </c>
      <c r="H54" s="34"/>
      <c r="I54" s="34"/>
      <c r="J54" s="34"/>
      <c r="K54" s="35"/>
    </row>
    <row r="55" ht="12.75" customHeight="1">
      <c r="A55" s="356" t="s">
        <v>926</v>
      </c>
      <c r="B55" s="34"/>
      <c r="C55" s="34"/>
      <c r="D55" s="35"/>
      <c r="E55" s="354"/>
      <c r="F55" s="355"/>
      <c r="G55" s="345" t="s">
        <v>927</v>
      </c>
      <c r="H55" s="34"/>
      <c r="I55" s="34"/>
      <c r="J55" s="34"/>
      <c r="K55" s="35"/>
    </row>
    <row r="56" ht="12.75" customHeight="1">
      <c r="A56" s="357" t="s">
        <v>928</v>
      </c>
      <c r="B56" s="347">
        <v>0.111</v>
      </c>
      <c r="C56" s="347">
        <v>0.1402</v>
      </c>
      <c r="D56" s="347">
        <v>0.168</v>
      </c>
      <c r="E56" s="354"/>
      <c r="F56" s="355"/>
      <c r="G56" s="345" t="s">
        <v>929</v>
      </c>
      <c r="H56" s="34"/>
      <c r="I56" s="34"/>
      <c r="J56" s="34"/>
      <c r="K56" s="35"/>
    </row>
    <row r="57" ht="12.75" customHeight="1">
      <c r="A57" s="357" t="s">
        <v>930</v>
      </c>
      <c r="B57" s="347">
        <v>0.1634</v>
      </c>
      <c r="C57" s="347">
        <v>0.1939</v>
      </c>
      <c r="D57" s="347">
        <v>0.223</v>
      </c>
      <c r="E57" s="354"/>
      <c r="F57" s="355"/>
      <c r="G57" s="345" t="s">
        <v>931</v>
      </c>
      <c r="H57" s="34"/>
      <c r="I57" s="34"/>
      <c r="J57" s="34"/>
      <c r="K57" s="35"/>
    </row>
    <row r="58" ht="12.75" customHeight="1">
      <c r="E58" s="354"/>
      <c r="F58" s="355"/>
      <c r="G58" s="345" t="s">
        <v>932</v>
      </c>
      <c r="H58" s="34"/>
      <c r="I58" s="34"/>
      <c r="J58" s="34"/>
      <c r="K58" s="35"/>
    </row>
    <row r="59" ht="12.75" customHeight="1">
      <c r="E59" s="353"/>
      <c r="F59" s="358"/>
      <c r="G59" s="345" t="s">
        <v>933</v>
      </c>
      <c r="H59" s="34"/>
      <c r="I59" s="34"/>
      <c r="J59" s="34"/>
      <c r="K59" s="35"/>
    </row>
    <row r="60" ht="15.0" customHeight="1">
      <c r="A60" s="364" t="s">
        <v>935</v>
      </c>
      <c r="B60" s="34"/>
      <c r="C60" s="34"/>
      <c r="D60" s="34"/>
      <c r="E60" s="34"/>
      <c r="F60" s="34"/>
      <c r="G60" s="34"/>
      <c r="H60" s="34"/>
      <c r="I60" s="34"/>
      <c r="J60" s="34"/>
      <c r="K60" s="35"/>
    </row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80">
    <mergeCell ref="G31:K31"/>
    <mergeCell ref="G32:K32"/>
    <mergeCell ref="G33:K33"/>
    <mergeCell ref="G34:K34"/>
    <mergeCell ref="A35:K35"/>
    <mergeCell ref="A36:K36"/>
    <mergeCell ref="A37:K37"/>
    <mergeCell ref="A38:A39"/>
    <mergeCell ref="B38:D39"/>
    <mergeCell ref="E38:E39"/>
    <mergeCell ref="F38:F39"/>
    <mergeCell ref="G38:G39"/>
    <mergeCell ref="H38:H39"/>
    <mergeCell ref="I38:K38"/>
    <mergeCell ref="B46:E46"/>
    <mergeCell ref="B47:E47"/>
    <mergeCell ref="B48:E48"/>
    <mergeCell ref="B49:E49"/>
    <mergeCell ref="A50:F50"/>
    <mergeCell ref="A51:D51"/>
    <mergeCell ref="A52:D52"/>
    <mergeCell ref="A53:E53"/>
    <mergeCell ref="A55:D55"/>
    <mergeCell ref="B40:D40"/>
    <mergeCell ref="B41:D41"/>
    <mergeCell ref="B42:D42"/>
    <mergeCell ref="B43:D43"/>
    <mergeCell ref="B44:D44"/>
    <mergeCell ref="B45:D45"/>
    <mergeCell ref="G45:K51"/>
    <mergeCell ref="G59:K59"/>
    <mergeCell ref="A60:K60"/>
    <mergeCell ref="G52:K52"/>
    <mergeCell ref="G53:K53"/>
    <mergeCell ref="G54:K54"/>
    <mergeCell ref="G55:K55"/>
    <mergeCell ref="G56:K56"/>
    <mergeCell ref="G57:K57"/>
    <mergeCell ref="G58:K58"/>
    <mergeCell ref="E6:H6"/>
    <mergeCell ref="E7:H7"/>
    <mergeCell ref="E8:H8"/>
    <mergeCell ref="E9:H9"/>
    <mergeCell ref="E10:H10"/>
    <mergeCell ref="A1:K1"/>
    <mergeCell ref="A3:A9"/>
    <mergeCell ref="C3:D9"/>
    <mergeCell ref="E3:I3"/>
    <mergeCell ref="E4:H4"/>
    <mergeCell ref="E5:H5"/>
    <mergeCell ref="L5:M5"/>
    <mergeCell ref="A11:K11"/>
    <mergeCell ref="A12:K12"/>
    <mergeCell ref="A13:A14"/>
    <mergeCell ref="B13:D14"/>
    <mergeCell ref="E13:E14"/>
    <mergeCell ref="F13:F14"/>
    <mergeCell ref="G13:G14"/>
    <mergeCell ref="B22:E22"/>
    <mergeCell ref="B23:E23"/>
    <mergeCell ref="B24:E24"/>
    <mergeCell ref="A25:F25"/>
    <mergeCell ref="A26:D26"/>
    <mergeCell ref="A27:D27"/>
    <mergeCell ref="A28:E28"/>
    <mergeCell ref="A30:D30"/>
    <mergeCell ref="B15:D15"/>
    <mergeCell ref="B16:D16"/>
    <mergeCell ref="B17:D17"/>
    <mergeCell ref="B18:D18"/>
    <mergeCell ref="B19:D19"/>
    <mergeCell ref="B20:D20"/>
    <mergeCell ref="B21:E21"/>
    <mergeCell ref="H13:H14"/>
    <mergeCell ref="I13:K13"/>
    <mergeCell ref="G20:K26"/>
    <mergeCell ref="G27:K27"/>
    <mergeCell ref="G28:K28"/>
    <mergeCell ref="G29:K29"/>
    <mergeCell ref="G30:K30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2020-01-10T10:10:48Z</dcterms:created>
  <dc:creator>Usuário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