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CRONOGRAMA" sheetId="2" r:id="rId5"/>
    <sheet state="visible" name="BDI" sheetId="3" r:id="rId6"/>
  </sheets>
  <definedNames/>
  <calcPr/>
  <extLst>
    <ext uri="GoogleSheetsCustomDataVersion1">
      <go:sheetsCustomData xmlns:go="http://customooxmlschemas.google.com/" r:id="rId7" roundtripDataSignature="AMtx7miDaYojyoW6R+lPCRdYfIQbmYZbxA=="/>
    </ext>
  </extLst>
</workbook>
</file>

<file path=xl/sharedStrings.xml><?xml version="1.0" encoding="utf-8"?>
<sst xmlns="http://schemas.openxmlformats.org/spreadsheetml/2006/main" count="262" uniqueCount="177">
  <si>
    <t>UNIVERSIDADE ESTADUAL DO NORTE DO PARANÁ</t>
  </si>
  <si>
    <t>CNPJ: 08.885.100/0001-54</t>
  </si>
  <si>
    <t>BDI</t>
  </si>
  <si>
    <t>SERVIÇO: ADEQUAÇÃO DA ENTRADA DE ENERGIA DO BLOCO G-H</t>
  </si>
  <si>
    <t>BDI dif</t>
  </si>
  <si>
    <t>Local: Campus de Cornélio Procópio</t>
  </si>
  <si>
    <t>Total s/BDI</t>
  </si>
  <si>
    <t>Data do orçamento: Outubro de 2022</t>
  </si>
  <si>
    <t>Total c/BDI</t>
  </si>
  <si>
    <t xml:space="preserve">REFERÊNCIA DE PREÇOS : SINAPI PR 09/22
SINAPI_Custo_Ref_Composicoes_Analitico_PR_202209_Desonerado.xls </t>
  </si>
  <si>
    <t xml:space="preserve">                                                                                                                  </t>
  </si>
  <si>
    <t>RESP.TÉCNICO: 
FELIPE SCALA FRANCICA 
ENGENHEIRO CIVIL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</si>
  <si>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</si>
  <si>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</si>
  <si>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</si>
  <si>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</si>
  <si>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</si>
  <si>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</si>
  <si>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</si>
  <si>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</si>
  <si>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</si>
  <si>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</si>
  <si>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</si>
  <si>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</si>
  <si>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</si>
  <si>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ADEQUAÇÃO</t>
  </si>
  <si>
    <t>1</t>
  </si>
  <si>
    <t>ALVENARIA</t>
  </si>
  <si>
    <t>1.1</t>
  </si>
  <si>
    <t>BASE EM CONCRETO</t>
  </si>
  <si>
    <t>94971</t>
  </si>
  <si>
    <t>CONCRETO FCK = 25MPA, TRAÇO 1:2,3:2,7 (EM MASSA SECA DE CIMENTO/ AREIA MÉDIA/ BRITA 1) - PREPARO MECÂNICO COM BETONEIRA 600 L. AF_05/2021</t>
  </si>
  <si>
    <t>M³</t>
  </si>
  <si>
    <t>1.2</t>
  </si>
  <si>
    <t>TRAVAMENTO EM CONCRETO ARMADO</t>
  </si>
  <si>
    <t>103669</t>
  </si>
  <si>
    <t>CONCRETAGEM DE PILARES, FCK = 25 MPA,  COM USO DE BALDES - LANÇAMENTO, ADENSAMENTO E ACABAMENTO. AF_02/2022</t>
  </si>
  <si>
    <t>1.3</t>
  </si>
  <si>
    <t>TRAVAMENTO EM CONCRETO ARMADO ARMADURA</t>
  </si>
  <si>
    <t>104108</t>
  </si>
  <si>
    <t>ARMAÇÃO DE PILAR OU VIGA DE ESTRUTURA DE CONCRETO ARMADO EMBUTIDA EM ALVENARIA DE VEDAÇÃO UTILIZANDO AÇO CA-50 DE 10,0 MM - MONTAGEM. AF_06/2022</t>
  </si>
  <si>
    <t>KG</t>
  </si>
  <si>
    <t>1.4</t>
  </si>
  <si>
    <t>TRAVAMENTO EM CONCRETO ARMADO ESTRIBOS</t>
  </si>
  <si>
    <t>104110</t>
  </si>
  <si>
    <t>ARMAÇÃO DE PILAR OU VIGA DE ESTRUTURA DE CONCRETO ARMADO EMBUTIDA EM ALVENARIA DE VEDAÇÃO UTILIZANDO AÇO CA-50 DE 5,0 MM - MONTAGEM. AF_06/2022</t>
  </si>
  <si>
    <t>1.5</t>
  </si>
  <si>
    <t>92269</t>
  </si>
  <si>
    <t>FABRICAÇÃO DE FÔRMA PARA PILARES E ESTRUTURAS SIMILARES, EM MADEIRA SERRADA, E=25 MM. AF_09/2020</t>
  </si>
  <si>
    <t>M²</t>
  </si>
  <si>
    <t>1.6</t>
  </si>
  <si>
    <t>ALVENARIA DE 1.1/2 VEZ - 30 CM</t>
  </si>
  <si>
    <t>103334</t>
  </si>
  <si>
    <t>ALVENARIA DE VEDAÇÃO DE BLOCOS CERÂMICOS FURADOS NA HORIZONTAL DE 14X9X19 CM (BLOCO DEITADO) E ARGAMASSA DE ASSENTAMENTO COM PREPARO EM BETONEIRA. AF_12/2021</t>
  </si>
  <si>
    <t>1.7</t>
  </si>
  <si>
    <t>CHAPISCO</t>
  </si>
  <si>
    <t>87878</t>
  </si>
  <si>
    <t>CHAPISCO APLICADO EM ALVENARIAS E ESTRUTURAS DE CONCRETO INTERNAS, COM COLHER DE PEDREIRO.  ARGAMASSA TRAÇO 1:3 COM PREPARO MANUAL. AF_06/2014</t>
  </si>
  <si>
    <t>1.8</t>
  </si>
  <si>
    <t>REBOCO</t>
  </si>
  <si>
    <t>87530</t>
  </si>
  <si>
    <t>MASSA ÚNICA, PARA RECEBIMENTO DE PINTURA, EM ARGAMASSA TRAÇO 1:2:8, PREPARO MANUAL, APLICADA MANUALMENTE EM FACES INTERNAS DE PAREDES, ESPESSURA DE 20MM, COM EXECUÇÃO DE TALISCAS. AF_06/2014</t>
  </si>
  <si>
    <t>1.9</t>
  </si>
  <si>
    <t>PINTURA</t>
  </si>
  <si>
    <t>95626</t>
  </si>
  <si>
    <t>APLICAÇÃO MANUAL DE TINTA LÁTEX ACRÍLICA EM PAREDE EXTERNAS DE CASAS, DUAS DEMÃOS. AF_11/2016</t>
  </si>
  <si>
    <t>1.10</t>
  </si>
  <si>
    <t>COBERTURA PROTEÇÃO</t>
  </si>
  <si>
    <t>101964</t>
  </si>
  <si>
    <t>LAJE PRÉ-MOLDADA UNIDIRECIONAL, BIAPOIADA, PARA FORRO, ENCHIMENTO EM CERÂMICA, VIGOTA CONVENCIONAL, ALTURA TOTAL DA LAJE (ENCHIMENTO+CAPA) = (8+3). AF_11/2020</t>
  </si>
  <si>
    <t>1.11</t>
  </si>
  <si>
    <t xml:space="preserve">IMPERM. </t>
  </si>
  <si>
    <t>98555</t>
  </si>
  <si>
    <t>IMPERMEABILIZAÇÃO DE SUPERFÍCIE COM ARGAMASSA POLIMÉRICA / MEMBRANA ACRÍLICA, 3 DEMÃOS. AF_06/2018</t>
  </si>
  <si>
    <t>2</t>
  </si>
  <si>
    <t>QUADROS, ELETRODUTOS E CAIXAS</t>
  </si>
  <si>
    <t>2.1</t>
  </si>
  <si>
    <t>REMOÇÃO QUADRO C E DESLIGAMENTO</t>
  </si>
  <si>
    <t>97661</t>
  </si>
  <si>
    <t>REMOÇÃO DE CABOS ELÉTRICOS, DE FORMA MANUAL, SEM REAPROVEITAMENTO. AF_12/2017</t>
  </si>
  <si>
    <t>M</t>
  </si>
  <si>
    <t>2.2</t>
  </si>
  <si>
    <t>QUEBRA ALVENARIA</t>
  </si>
  <si>
    <t>90458</t>
  </si>
  <si>
    <t>QUEBRA EM ALVENARIA PARA INSTALAÇÃO DE QUADRO DISTRIBUIÇÃO GRANDE</t>
  </si>
  <si>
    <t>2.3</t>
  </si>
  <si>
    <t>QUADRO A e C - INSTALAÇÃO</t>
  </si>
  <si>
    <t>101882 ADAP</t>
  </si>
  <si>
    <t>[ADAPTADO SOMENTE INSTALAÇÃO] 
QUADRO DE DISTRIBUIÇÃO DE ENERGIA EM CHAPA DE AÇO GALVANIZADO</t>
  </si>
  <si>
    <t>2.4</t>
  </si>
  <si>
    <t>QUADRO B - FORNECIMENTO E INSTALAÇÃO</t>
  </si>
  <si>
    <t>09725/ORSE</t>
  </si>
  <si>
    <t>Quadro / Painel em chapa de aço com pintura eletrostática a pó poliester na cor bege, grau de proteção IP 54, com barramento, sem disjuntores - 1000x800x220mm</t>
  </si>
  <si>
    <t>2.5</t>
  </si>
  <si>
    <t>PVC 85 MM + ACESSÓRIOS (LUVAS, COTOVELOS, ETC...)</t>
  </si>
  <si>
    <t>93011</t>
  </si>
  <si>
    <t>ELETRODUTO RÍGIDO ROSCÁVEL, PVC, DN 85 MM (3"), PARA REDE ENTERRADA DE DISTRIBUIÇÃO DE ENERGIA ELÉTRICA - FORNECIMENTO E INSTALAÇÃO. AF_12/2021</t>
  </si>
  <si>
    <t>2.6</t>
  </si>
  <si>
    <t>CAIxA ENTERRADA</t>
  </si>
  <si>
    <t>97883</t>
  </si>
  <si>
    <t>CAIXA ENTERRADA ELÉTRICA RETANGULAR, EM CONCRETO PRÉ-MOLDADO, FUNDO COM BRITA, DIMENSÕES INTERNAS: 0,6X0,6X0,5 M. AF_12/2020</t>
  </si>
  <si>
    <t>3</t>
  </si>
  <si>
    <t>DISJUNTORES</t>
  </si>
  <si>
    <t>3.1</t>
  </si>
  <si>
    <t>QUADRO C - GERAL</t>
  </si>
  <si>
    <t>101898</t>
  </si>
  <si>
    <t>[ADAP 350A] DISJUNTOR TERMOMAGNÉTICO TRIPOLAR , CORRENTE NOMINAL DE 350A - FORNECIMENTO E INSTALAÇÃO. AF_10/2020</t>
  </si>
  <si>
    <t>3.2</t>
  </si>
  <si>
    <t>QUADRO B - GERAL</t>
  </si>
  <si>
    <t>101899</t>
  </si>
  <si>
    <t>DISJUNTOR TERMOMAGNÉTICO TRIPOLAR , CORRENTE NOMINAL DE 600A - FORNECIMENTO E INSTALAÇÃO. AF_10/2020</t>
  </si>
  <si>
    <t>3.3</t>
  </si>
  <si>
    <t>QUADRO B - QUADRO C</t>
  </si>
  <si>
    <t>3.4</t>
  </si>
  <si>
    <t>QUADRO B - QUADRO A</t>
  </si>
  <si>
    <t>101897</t>
  </si>
  <si>
    <t>DISJUNTOR TERMOMAGNÉTICO TRIPOLAR , CORRENTE NOMINAL DE 250A - FORNECIMENTO E INSTALAÇÃO. AF_10/2020</t>
  </si>
  <si>
    <t>4</t>
  </si>
  <si>
    <t xml:space="preserve">CABOS </t>
  </si>
  <si>
    <t>4.1</t>
  </si>
  <si>
    <t>CABO 95 MM²</t>
  </si>
  <si>
    <t>101567</t>
  </si>
  <si>
    <t>CABO DE COBRE FLEXÍVEL ISOLADO, 95 MM², 0,6/1,0 KV, PARA REDE AÉREA DE DISTRIBUIÇÃO DE ENERGIA ELÉTRICA DE BAIXA TENSÃO - FORNECIMENTO E INSTALAÇÃO. AF_07/2020</t>
  </si>
  <si>
    <t>4.2</t>
  </si>
  <si>
    <t>CABO 70 MM²</t>
  </si>
  <si>
    <t>101565</t>
  </si>
  <si>
    <t>CABO DE COBRE FLEXÍVEL ISOLADO, 70 MM², 0,6/1,0 KV, PARA REDE AÉREA DE DISTRIBUIÇÃO DE ENERGIA ELÉTRICA DE BAIXA TENSÃO - FORNECIMENTO E INSTALAÇÃO. AF_07/2020</t>
  </si>
  <si>
    <t>CRONOGRAMA FÍSICO- FINANCEIRO</t>
  </si>
  <si>
    <t>SERVIÇO/LOCAL</t>
  </si>
  <si>
    <t>Valores</t>
  </si>
  <si>
    <t>%</t>
  </si>
  <si>
    <t>45 DIAS</t>
  </si>
  <si>
    <t>R$</t>
  </si>
  <si>
    <t>ADEQUAÇÃO DA ENTRADA DE ENERGIA DO BLOCO G-H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</si>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</sst>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R$-416]\ #,##0.00;[RED]\-[$R$-416]\ #,##0.00"/>
    <numFmt numFmtId="165" formatCode="[$R$-416]\ #,##0.000;[RED]\-[$R$-416]\ #,##0.000"/>
    <numFmt numFmtId="166" formatCode="[$R$ -416]#,##0.00"/>
    <numFmt numFmtId="167" formatCode="0.0%"/>
    <numFmt numFmtId="168" formatCode="_-&quot;R$ &quot;* #,##0.00_-;&quot;-R$ &quot;* #,##0.00_-;_-&quot;R$ &quot;* \-??_-;_-@"/>
    <numFmt numFmtId="169" formatCode="D\.M"/>
  </numFmts>
  <fonts count="21">
    <font>
      <sz val="10.0"/>
      <color rgb="FF000000"/>
      <name val="Calibri"/>
      <scheme val="minor"/>
    </font>
    <font>
      <sz val="10.0"/>
      <color rgb="FF000000"/>
      <name val="Calibri"/>
    </font>
    <font/>
    <font>
      <b/>
      <sz val="10.0"/>
      <color rgb="FF000000"/>
      <name val="Calibri"/>
    </font>
    <font>
      <b/>
      <sz val="12.0"/>
      <color rgb="FF345168"/>
      <name val="Calibri"/>
    </font>
    <font>
      <sz val="12.0"/>
      <color rgb="FF000000"/>
      <name val="Calibri"/>
    </font>
    <font>
      <sz val="8.0"/>
      <color rgb="FF000000"/>
      <name val="Calibri"/>
    </font>
    <font>
      <sz val="11.0"/>
      <color rgb="FF000000"/>
      <name val="Calibri"/>
    </font>
    <font>
      <b/>
      <sz val="12.0"/>
      <color rgb="FF000000"/>
      <name val="Calibri"/>
    </font>
    <font>
      <b/>
      <sz val="12.0"/>
      <color rgb="FFFFFFFF"/>
      <name val="Calibri"/>
    </font>
    <font>
      <b/>
      <sz val="10.0"/>
      <color rgb="FFFFFFFF"/>
      <name val="Calibri"/>
    </font>
    <font>
      <sz val="10.0"/>
      <color theme="1"/>
      <name val="Calibri"/>
    </font>
    <font>
      <i/>
      <sz val="10.0"/>
      <color rgb="FF000000"/>
      <name val="Calibri"/>
    </font>
    <font>
      <sz val="10.0"/>
      <color rgb="FF345168"/>
      <name val="Calibri"/>
    </font>
    <font>
      <b/>
      <sz val="10.0"/>
      <color rgb="FFFF0000"/>
      <name val="Calibri"/>
    </font>
    <font>
      <b/>
      <sz val="14.0"/>
      <color rgb="FFFFFFFF"/>
      <name val="Calibri"/>
    </font>
    <font>
      <color theme="1"/>
      <name val="Calibri"/>
      <scheme val="minor"/>
    </font>
    <font>
      <b/>
      <sz val="8.0"/>
      <color rgb="FF000000"/>
      <name val="Calibri"/>
    </font>
    <font>
      <sz val="8.0"/>
      <color rgb="FF000000"/>
      <name val="Arial"/>
    </font>
    <font>
      <b/>
      <sz val="8.0"/>
      <color rgb="FF000000"/>
      <name val="Arial"/>
    </font>
    <font>
      <b/>
      <sz val="11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</fills>
  <borders count="52">
    <border/>
    <border>
      <left/>
      <top/>
      <bottom/>
    </border>
    <border>
      <top/>
      <bottom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hair">
        <color rgb="FF000000"/>
      </left>
    </border>
    <border>
      <right style="hair">
        <color rgb="FF000000"/>
      </right>
    </border>
    <border>
      <left/>
      <right/>
      <top/>
    </border>
    <border>
      <left/>
      <right/>
    </border>
    <border>
      <left/>
      <right/>
      <top/>
      <bottom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</border>
    <border>
      <right/>
      <bottom/>
    </border>
    <border>
      <left/>
      <right/>
      <bottom/>
    </border>
    <border>
      <right/>
      <top/>
      <bottom/>
    </border>
    <border>
      <left/>
      <bottom/>
    </border>
    <border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FFFFFF"/>
      </left>
      <top style="medium">
        <color rgb="FFFFFFFF"/>
      </top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left style="medium">
        <color rgb="FFFFFFFF"/>
      </left>
    </border>
    <border>
      <right style="medium">
        <color rgb="FFFFFFFF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FFFFFF"/>
      </bottom>
    </border>
  </borders>
  <cellStyleXfs count="1">
    <xf borderId="0" fillId="0" fontId="0" numFmtId="0" applyAlignment="1" applyFont="1"/>
  </cellStyleXfs>
  <cellXfs count="184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3" fillId="0" fontId="1" numFmtId="49" xfId="0" applyAlignment="1" applyBorder="1" applyFont="1" applyNumberFormat="1">
      <alignment horizontal="center" shrinkToFit="0" vertical="center" wrapText="0"/>
    </xf>
    <xf borderId="4" fillId="0" fontId="2" numFmtId="0" xfId="0" applyBorder="1" applyFont="1"/>
    <xf borderId="5" fillId="0" fontId="2" numFmtId="0" xfId="0" applyBorder="1" applyFont="1"/>
    <xf borderId="6" fillId="0" fontId="1" numFmtId="49" xfId="0" applyAlignment="1" applyBorder="1" applyFont="1" applyNumberFormat="1">
      <alignment horizontal="center" shrinkToFit="0" vertical="center" wrapText="0"/>
    </xf>
    <xf borderId="7" fillId="0" fontId="1" numFmtId="49" xfId="0" applyAlignment="1" applyBorder="1" applyFont="1" applyNumberFormat="1">
      <alignment horizontal="left" shrinkToFit="0" vertical="center" wrapText="1"/>
    </xf>
    <xf borderId="8" fillId="0" fontId="2" numFmtId="0" xfId="0" applyBorder="1" applyFont="1"/>
    <xf borderId="3" fillId="0" fontId="4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shrinkToFit="0" vertical="center" wrapText="0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0"/>
    </xf>
    <xf borderId="3" fillId="0" fontId="1" numFmtId="0" xfId="0" applyAlignment="1" applyBorder="1" applyFont="1">
      <alignment horizontal="center" shrinkToFit="0" vertical="center" wrapText="0"/>
    </xf>
    <xf borderId="13" fillId="3" fontId="5" numFmtId="164" xfId="0" applyAlignment="1" applyBorder="1" applyFill="1" applyFont="1" applyNumberFormat="1">
      <alignment horizontal="left" shrinkToFit="0" vertical="center" wrapText="0"/>
    </xf>
    <xf borderId="13" fillId="3" fontId="5" numFmtId="10" xfId="0" applyAlignment="1" applyBorder="1" applyFont="1" applyNumberFormat="1">
      <alignment horizontal="right" readingOrder="0" shrinkToFit="0" vertical="center" wrapText="0"/>
    </xf>
    <xf borderId="3" fillId="0" fontId="4" numFmtId="0" xfId="0" applyAlignment="1" applyBorder="1" applyFont="1">
      <alignment horizontal="center" readingOrder="0" shrinkToFit="0" vertical="center" wrapText="1"/>
    </xf>
    <xf borderId="13" fillId="3" fontId="5" numFmtId="10" xfId="0" applyAlignment="1" applyBorder="1" applyFont="1" applyNumberFormat="1">
      <alignment horizontal="right" shrinkToFit="0" vertical="center" wrapText="0"/>
    </xf>
    <xf borderId="3" fillId="4" fontId="6" numFmtId="0" xfId="0" applyAlignment="1" applyBorder="1" applyFill="1" applyFont="1">
      <alignment horizontal="center" readingOrder="0" shrinkToFit="0" vertical="center" wrapText="1"/>
    </xf>
    <xf borderId="9" fillId="0" fontId="7" numFmtId="0" xfId="0" applyAlignment="1" applyBorder="1" applyFont="1">
      <alignment shrinkToFit="0" vertical="center" wrapText="0"/>
    </xf>
    <xf borderId="9" fillId="0" fontId="7" numFmtId="0" xfId="0" applyAlignment="1" applyBorder="1" applyFont="1">
      <alignment horizontal="center" shrinkToFit="0" vertical="center" wrapText="0"/>
    </xf>
    <xf borderId="3" fillId="0" fontId="7" numFmtId="0" xfId="0" applyAlignment="1" applyBorder="1" applyFont="1">
      <alignment horizontal="center" shrinkToFit="0" vertical="center" wrapText="0"/>
    </xf>
    <xf borderId="13" fillId="3" fontId="8" numFmtId="164" xfId="0" applyAlignment="1" applyBorder="1" applyFont="1" applyNumberFormat="1">
      <alignment horizontal="left" shrinkToFit="0" vertical="center" wrapText="0"/>
    </xf>
    <xf borderId="13" fillId="3" fontId="5" numFmtId="164" xfId="0" applyAlignment="1" applyBorder="1" applyFont="1" applyNumberFormat="1">
      <alignment horizontal="right" shrinkToFit="0" vertical="center" wrapText="0"/>
    </xf>
    <xf borderId="3" fillId="0" fontId="6" numFmtId="0" xfId="0" applyAlignment="1" applyBorder="1" applyFont="1">
      <alignment horizontal="center" shrinkToFit="0" vertical="center" wrapText="1"/>
    </xf>
    <xf borderId="13" fillId="3" fontId="8" numFmtId="164" xfId="0" applyAlignment="1" applyBorder="1" applyFont="1" applyNumberFormat="1">
      <alignment horizontal="right" shrinkToFit="0" vertical="center" wrapText="0"/>
    </xf>
    <xf borderId="0" fillId="0" fontId="3" numFmtId="165" xfId="0" applyAlignment="1" applyFont="1" applyNumberFormat="1">
      <alignment shrinkToFit="0" vertical="center" wrapText="1"/>
    </xf>
    <xf borderId="0" fillId="0" fontId="1" numFmtId="165" xfId="0" applyAlignment="1" applyFont="1" applyNumberFormat="1">
      <alignment shrinkToFit="0" vertical="bottom" wrapText="0"/>
    </xf>
    <xf borderId="3" fillId="0" fontId="6" numFmtId="0" xfId="0" applyAlignment="1" applyBorder="1" applyFont="1">
      <alignment horizontal="center" readingOrder="0" shrinkToFit="0" vertical="bottom" wrapText="1"/>
    </xf>
    <xf borderId="14" fillId="0" fontId="1" numFmtId="0" xfId="0" applyAlignment="1" applyBorder="1" applyFont="1">
      <alignment horizontal="center" shrinkToFit="0" vertical="center" wrapText="0"/>
    </xf>
    <xf borderId="14" fillId="0" fontId="1" numFmtId="0" xfId="0" applyAlignment="1" applyBorder="1" applyFont="1">
      <alignment shrinkToFit="0" vertical="center" wrapText="0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9" fillId="0" fontId="1" numFmtId="166" xfId="0" applyAlignment="1" applyBorder="1" applyFont="1" applyNumberFormat="1">
      <alignment shrinkToFit="0" vertical="center" wrapText="0"/>
    </xf>
    <xf borderId="17" fillId="0" fontId="1" numFmtId="49" xfId="0" applyAlignment="1" applyBorder="1" applyFont="1" applyNumberFormat="1">
      <alignment horizontal="center" shrinkToFit="0" vertical="center" wrapText="0"/>
    </xf>
    <xf borderId="18" fillId="0" fontId="2" numFmtId="0" xfId="0" applyBorder="1" applyFont="1"/>
    <xf borderId="19" fillId="2" fontId="9" numFmtId="49" xfId="0" applyAlignment="1" applyBorder="1" applyFont="1" applyNumberFormat="1">
      <alignment horizontal="center" shrinkToFit="0" vertical="center" wrapText="0"/>
    </xf>
    <xf borderId="19" fillId="2" fontId="9" numFmtId="49" xfId="0" applyAlignment="1" applyBorder="1" applyFont="1" applyNumberFormat="1">
      <alignment horizontal="center" shrinkToFit="0" vertical="center" wrapText="1"/>
    </xf>
    <xf borderId="19" fillId="2" fontId="9" numFmtId="0" xfId="0" applyAlignment="1" applyBorder="1" applyFont="1">
      <alignment horizontal="center" shrinkToFit="0" vertical="center" wrapText="1"/>
    </xf>
    <xf borderId="19" fillId="2" fontId="9" numFmtId="2" xfId="0" applyAlignment="1" applyBorder="1" applyFont="1" applyNumberFormat="1">
      <alignment horizontal="center" shrinkToFit="0" vertical="center" wrapText="0"/>
    </xf>
    <xf borderId="1" fillId="2" fontId="9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20" fillId="0" fontId="2" numFmtId="0" xfId="0" applyBorder="1" applyFont="1"/>
    <xf borderId="21" fillId="2" fontId="10" numFmtId="0" xfId="0" applyAlignment="1" applyBorder="1" applyFont="1">
      <alignment horizontal="center" shrinkToFit="0" vertical="center" wrapText="0"/>
    </xf>
    <xf borderId="21" fillId="2" fontId="9" numFmtId="0" xfId="0" applyAlignment="1" applyBorder="1" applyFont="1">
      <alignment horizontal="center" shrinkToFit="0" vertical="center" wrapText="0"/>
    </xf>
    <xf borderId="22" fillId="5" fontId="3" numFmtId="49" xfId="0" applyAlignment="1" applyBorder="1" applyFill="1" applyFont="1" applyNumberFormat="1">
      <alignment horizontal="center" shrinkToFit="0" vertical="center" wrapText="1"/>
    </xf>
    <xf borderId="22" fillId="5" fontId="3" numFmtId="49" xfId="0" applyAlignment="1" applyBorder="1" applyFont="1" applyNumberFormat="1">
      <alignment horizontal="left" shrinkToFit="0" vertical="center" wrapText="1"/>
    </xf>
    <xf borderId="22" fillId="5" fontId="3" numFmtId="0" xfId="0" applyAlignment="1" applyBorder="1" applyFont="1">
      <alignment horizontal="left" readingOrder="0" shrinkToFit="0" vertical="center" wrapText="1"/>
    </xf>
    <xf borderId="22" fillId="5" fontId="3" numFmtId="0" xfId="0" applyAlignment="1" applyBorder="1" applyFont="1">
      <alignment horizontal="left" shrinkToFit="0" vertical="center" wrapText="1"/>
    </xf>
    <xf borderId="22" fillId="5" fontId="3" numFmtId="164" xfId="0" applyAlignment="1" applyBorder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22" fillId="3" fontId="1" numFmtId="49" xfId="0" applyAlignment="1" applyBorder="1" applyFont="1" applyNumberFormat="1">
      <alignment horizontal="center" shrinkToFit="0" vertical="center" wrapText="1"/>
    </xf>
    <xf borderId="22" fillId="3" fontId="11" numFmtId="0" xfId="0" applyBorder="1" applyFont="1"/>
    <xf borderId="22" fillId="3" fontId="12" numFmtId="49" xfId="0" applyAlignment="1" applyBorder="1" applyFont="1" applyNumberFormat="1">
      <alignment horizontal="center" shrinkToFit="0" vertical="center" wrapText="1"/>
    </xf>
    <xf borderId="22" fillId="3" fontId="3" numFmtId="49" xfId="0" applyAlignment="1" applyBorder="1" applyFont="1" applyNumberFormat="1">
      <alignment horizontal="left" readingOrder="0" shrinkToFit="0" vertical="center" wrapText="1"/>
    </xf>
    <xf borderId="22" fillId="3" fontId="1" numFmtId="2" xfId="0" applyAlignment="1" applyBorder="1" applyFont="1" applyNumberFormat="1">
      <alignment horizontal="center" shrinkToFit="0" vertical="center" wrapText="0"/>
    </xf>
    <xf borderId="22" fillId="3" fontId="1" numFmtId="164" xfId="0" applyAlignment="1" applyBorder="1" applyFont="1" applyNumberFormat="1">
      <alignment horizontal="center" shrinkToFit="0" vertical="center" wrapText="1"/>
    </xf>
    <xf borderId="23" fillId="4" fontId="3" numFmtId="164" xfId="0" applyAlignment="1" applyBorder="1" applyFont="1" applyNumberFormat="1">
      <alignment shrinkToFit="0" vertical="center" wrapText="0"/>
    </xf>
    <xf borderId="24" fillId="4" fontId="1" numFmtId="0" xfId="0" applyAlignment="1" applyBorder="1" applyFont="1">
      <alignment shrinkToFit="0" vertical="center" wrapText="0"/>
    </xf>
    <xf borderId="22" fillId="4" fontId="1" numFmtId="49" xfId="0" applyAlignment="1" applyBorder="1" applyFont="1" applyNumberFormat="1">
      <alignment horizontal="center" readingOrder="0" shrinkToFit="0" vertical="center" wrapText="1"/>
    </xf>
    <xf borderId="22" fillId="4" fontId="1" numFmtId="49" xfId="0" applyAlignment="1" applyBorder="1" applyFont="1" applyNumberFormat="1">
      <alignment horizontal="left" readingOrder="0" shrinkToFit="0" vertical="center" wrapText="1"/>
    </xf>
    <xf borderId="22" fillId="4" fontId="12" numFmtId="49" xfId="0" applyAlignment="1" applyBorder="1" applyFont="1" applyNumberFormat="1">
      <alignment horizontal="center" readingOrder="0" shrinkToFit="0" vertical="center" wrapText="1"/>
    </xf>
    <xf borderId="22" fillId="4" fontId="1" numFmtId="0" xfId="0" applyAlignment="1" applyBorder="1" applyFont="1">
      <alignment readingOrder="0" shrinkToFit="0" vertical="center" wrapText="1"/>
    </xf>
    <xf borderId="22" fillId="4" fontId="1" numFmtId="2" xfId="0" applyAlignment="1" applyBorder="1" applyFont="1" applyNumberFormat="1">
      <alignment horizontal="center" shrinkToFit="0" vertical="center" wrapText="0"/>
    </xf>
    <xf borderId="22" fillId="4" fontId="1" numFmtId="164" xfId="0" applyAlignment="1" applyBorder="1" applyFont="1" applyNumberFormat="1">
      <alignment horizontal="center" readingOrder="0" shrinkToFit="0" vertical="center" wrapText="1"/>
    </xf>
    <xf borderId="22" fillId="4" fontId="1" numFmtId="164" xfId="0" applyAlignment="1" applyBorder="1" applyFont="1" applyNumberFormat="1">
      <alignment horizontal="center" shrinkToFit="0" vertical="center" wrapText="1"/>
    </xf>
    <xf borderId="22" fillId="4" fontId="3" numFmtId="164" xfId="0" applyAlignment="1" applyBorder="1" applyFont="1" applyNumberFormat="1">
      <alignment horizontal="center" shrinkToFit="0" vertical="center" wrapText="1"/>
    </xf>
    <xf borderId="25" fillId="4" fontId="3" numFmtId="0" xfId="0" applyAlignment="1" applyBorder="1" applyFont="1">
      <alignment shrinkToFit="0" vertical="center" wrapText="0"/>
    </xf>
    <xf borderId="26" fillId="4" fontId="1" numFmtId="0" xfId="0" applyAlignment="1" applyBorder="1" applyFont="1">
      <alignment shrinkToFit="0" vertical="center" wrapText="0"/>
    </xf>
    <xf borderId="27" fillId="4" fontId="3" numFmtId="0" xfId="0" applyAlignment="1" applyBorder="1" applyFont="1">
      <alignment shrinkToFit="0" vertical="center" wrapText="0"/>
    </xf>
    <xf borderId="21" fillId="4" fontId="1" numFmtId="0" xfId="0" applyAlignment="1" applyBorder="1" applyFont="1">
      <alignment shrinkToFit="0" vertical="center" wrapText="0"/>
    </xf>
    <xf borderId="22" fillId="4" fontId="1" numFmtId="2" xfId="0" applyAlignment="1" applyBorder="1" applyFont="1" applyNumberFormat="1">
      <alignment horizontal="center" readingOrder="0" shrinkToFit="0" vertical="center" wrapText="0"/>
    </xf>
    <xf borderId="22" fillId="3" fontId="1" numFmtId="49" xfId="0" applyAlignment="1" applyBorder="1" applyFont="1" applyNumberFormat="1">
      <alignment horizontal="center" readingOrder="0" shrinkToFit="0" vertical="center" wrapText="1"/>
    </xf>
    <xf borderId="0" fillId="4" fontId="3" numFmtId="164" xfId="0" applyAlignment="1" applyFont="1" applyNumberFormat="1">
      <alignment shrinkToFit="0" vertical="center" wrapText="0"/>
    </xf>
    <xf borderId="0" fillId="4" fontId="1" numFmtId="0" xfId="0" applyAlignment="1" applyFont="1">
      <alignment shrinkToFit="0" vertical="center" wrapText="0"/>
    </xf>
    <xf borderId="0" fillId="4" fontId="3" numFmtId="0" xfId="0" applyAlignment="1" applyFont="1">
      <alignment shrinkToFit="0" vertical="center" wrapText="0"/>
    </xf>
    <xf borderId="22" fillId="3" fontId="3" numFmtId="164" xfId="0" applyAlignment="1" applyBorder="1" applyFont="1" applyNumberFormat="1">
      <alignment horizontal="center" shrinkToFit="0" vertical="center" wrapText="1"/>
    </xf>
    <xf borderId="28" fillId="2" fontId="1" numFmtId="49" xfId="0" applyAlignment="1" applyBorder="1" applyFont="1" applyNumberFormat="1">
      <alignment horizontal="center" shrinkToFit="0" vertical="center" wrapText="0"/>
    </xf>
    <xf borderId="29" fillId="0" fontId="2" numFmtId="0" xfId="0" applyBorder="1" applyFont="1"/>
    <xf borderId="21" fillId="2" fontId="13" numFmtId="49" xfId="0" applyAlignment="1" applyBorder="1" applyFont="1" applyNumberFormat="1">
      <alignment horizontal="center" shrinkToFit="0" vertical="bottom" wrapText="1"/>
    </xf>
    <xf borderId="21" fillId="2" fontId="13" numFmtId="0" xfId="0" applyAlignment="1" applyBorder="1" applyFont="1">
      <alignment horizontal="center" shrinkToFit="0" vertical="bottom" wrapText="1"/>
    </xf>
    <xf borderId="0" fillId="0" fontId="13" numFmtId="49" xfId="0" applyAlignment="1" applyFont="1" applyNumberFormat="1">
      <alignment horizontal="center" shrinkToFit="0" vertical="bottom" wrapText="1"/>
    </xf>
    <xf borderId="0" fillId="0" fontId="13" numFmtId="0" xfId="0" applyAlignment="1" applyFont="1">
      <alignment horizontal="center" shrinkToFit="0" vertical="bottom" wrapText="1"/>
    </xf>
    <xf borderId="9" fillId="0" fontId="13" numFmtId="49" xfId="0" applyAlignment="1" applyBorder="1" applyFont="1" applyNumberFormat="1">
      <alignment horizontal="center" shrinkToFit="0" vertical="bottom" wrapText="1"/>
    </xf>
    <xf borderId="9" fillId="0" fontId="1" numFmtId="49" xfId="0" applyAlignment="1" applyBorder="1" applyFont="1" applyNumberFormat="1">
      <alignment horizontal="center" shrinkToFit="0" vertical="center" wrapText="1"/>
    </xf>
    <xf borderId="0" fillId="0" fontId="1" numFmtId="49" xfId="0" applyAlignment="1" applyFont="1" applyNumberFormat="1">
      <alignment horizontal="center" shrinkToFit="0" vertical="center" wrapText="0"/>
    </xf>
    <xf borderId="30" fillId="2" fontId="9" numFmtId="0" xfId="0" applyAlignment="1" applyBorder="1" applyFont="1">
      <alignment horizontal="center" shrinkToFit="0" vertical="top" wrapText="1"/>
    </xf>
    <xf borderId="31" fillId="0" fontId="2" numFmtId="0" xfId="0" applyBorder="1" applyFont="1"/>
    <xf borderId="32" fillId="0" fontId="2" numFmtId="0" xfId="0" applyBorder="1" applyFont="1"/>
    <xf borderId="33" fillId="0" fontId="1" numFmtId="49" xfId="0" applyAlignment="1" applyBorder="1" applyFont="1" applyNumberFormat="1">
      <alignment shrinkToFit="0" vertical="bottom" wrapText="0"/>
    </xf>
    <xf borderId="33" fillId="0" fontId="1" numFmtId="0" xfId="0" applyAlignment="1" applyBorder="1" applyFont="1">
      <alignment shrinkToFit="0" vertical="center" wrapText="0"/>
    </xf>
    <xf borderId="33" fillId="0" fontId="1" numFmtId="0" xfId="0" applyAlignment="1" applyBorder="1" applyFont="1">
      <alignment shrinkToFit="0" vertical="top" wrapText="1"/>
    </xf>
    <xf borderId="33" fillId="0" fontId="1" numFmtId="0" xfId="0" applyAlignment="1" applyBorder="1" applyFont="1">
      <alignment horizontal="center" shrinkToFit="0" vertical="top" wrapText="1"/>
    </xf>
    <xf borderId="30" fillId="0" fontId="3" numFmtId="0" xfId="0" applyAlignment="1" applyBorder="1" applyFont="1">
      <alignment horizontal="center" readingOrder="0" shrinkToFit="0" vertical="bottom" wrapText="1"/>
    </xf>
    <xf borderId="34" fillId="0" fontId="2" numFmtId="0" xfId="0" applyBorder="1" applyFont="1"/>
    <xf borderId="13" fillId="0" fontId="1" numFmtId="0" xfId="0" applyAlignment="1" applyBorder="1" applyFont="1">
      <alignment horizontal="center" shrinkToFit="0" vertical="top" wrapText="1"/>
    </xf>
    <xf borderId="13" fillId="0" fontId="1" numFmtId="49" xfId="0" applyAlignment="1" applyBorder="1" applyFont="1" applyNumberFormat="1">
      <alignment horizontal="center" shrinkToFit="0" vertical="bottom" wrapText="0"/>
    </xf>
    <xf borderId="13" fillId="0" fontId="6" numFmtId="0" xfId="0" applyAlignment="1" applyBorder="1" applyFont="1">
      <alignment readingOrder="0" shrinkToFit="0" vertical="bottom" wrapText="0"/>
    </xf>
    <xf borderId="13" fillId="0" fontId="1" numFmtId="164" xfId="0" applyAlignment="1" applyBorder="1" applyFont="1" applyNumberFormat="1">
      <alignment horizontal="left" shrinkToFit="0" vertical="center" wrapText="0"/>
    </xf>
    <xf borderId="13" fillId="0" fontId="1" numFmtId="10" xfId="0" applyAlignment="1" applyBorder="1" applyFont="1" applyNumberFormat="1">
      <alignment horizontal="right" shrinkToFit="0" vertical="top" wrapText="0"/>
    </xf>
    <xf borderId="13" fillId="6" fontId="1" numFmtId="167" xfId="0" applyAlignment="1" applyBorder="1" applyFill="1" applyFont="1" applyNumberFormat="1">
      <alignment horizontal="right" readingOrder="0" shrinkToFit="0" vertical="bottom" wrapText="0"/>
    </xf>
    <xf borderId="13" fillId="0" fontId="1" numFmtId="168" xfId="0" applyAlignment="1" applyBorder="1" applyFont="1" applyNumberFormat="1">
      <alignment horizontal="right" shrinkToFit="0" vertical="bottom" wrapText="0"/>
    </xf>
    <xf borderId="13" fillId="0" fontId="1" numFmtId="0" xfId="0" applyAlignment="1" applyBorder="1" applyFont="1">
      <alignment shrinkToFit="0" vertical="bottom" wrapText="1"/>
    </xf>
    <xf borderId="13" fillId="0" fontId="3" numFmtId="164" xfId="0" applyAlignment="1" applyBorder="1" applyFont="1" applyNumberFormat="1">
      <alignment horizontal="left" shrinkToFit="0" vertical="center" wrapText="0"/>
    </xf>
    <xf borderId="13" fillId="0" fontId="3" numFmtId="10" xfId="0" applyAlignment="1" applyBorder="1" applyFont="1" applyNumberFormat="1">
      <alignment horizontal="right" shrinkToFit="0" vertical="top" wrapText="0"/>
    </xf>
    <xf borderId="13" fillId="0" fontId="1" numFmtId="9" xfId="0" applyAlignment="1" applyBorder="1" applyFont="1" applyNumberFormat="1">
      <alignment shrinkToFit="0" vertical="bottom" wrapText="0"/>
    </xf>
    <xf borderId="30" fillId="0" fontId="1" numFmtId="49" xfId="0" applyAlignment="1" applyBorder="1" applyFont="1" applyNumberFormat="1">
      <alignment horizontal="center" shrinkToFit="0" vertical="bottom" wrapText="0"/>
    </xf>
    <xf borderId="31" fillId="0" fontId="1" numFmtId="49" xfId="0" applyAlignment="1" applyBorder="1" applyFont="1" applyNumberFormat="1">
      <alignment horizontal="center" shrinkToFit="0" vertical="bottom" wrapText="0"/>
    </xf>
    <xf borderId="13" fillId="0" fontId="1" numFmtId="49" xfId="0" applyAlignment="1" applyBorder="1" applyFont="1" applyNumberFormat="1">
      <alignment shrinkToFit="0" vertical="bottom" wrapText="0"/>
    </xf>
    <xf borderId="13" fillId="0" fontId="3" numFmtId="0" xfId="0" applyAlignment="1" applyBorder="1" applyFont="1">
      <alignment horizontal="right" shrinkToFit="0" vertical="top" wrapText="1"/>
    </xf>
    <xf borderId="13" fillId="0" fontId="1" numFmtId="0" xfId="0" applyAlignment="1" applyBorder="1" applyFont="1">
      <alignment shrinkToFit="0" vertical="bottom" wrapText="0"/>
    </xf>
    <xf borderId="30" fillId="0" fontId="3" numFmtId="168" xfId="0" applyAlignment="1" applyBorder="1" applyFont="1" applyNumberFormat="1">
      <alignment horizontal="right" shrinkToFit="0" vertical="top" wrapText="0"/>
    </xf>
    <xf borderId="30" fillId="6" fontId="3" numFmtId="10" xfId="0" applyAlignment="1" applyBorder="1" applyFont="1" applyNumberFormat="1">
      <alignment horizontal="right"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30" fillId="2" fontId="10" numFmtId="49" xfId="0" applyAlignment="1" applyBorder="1" applyFont="1" applyNumberFormat="1">
      <alignment horizontal="center" shrinkToFit="0" vertical="top" wrapText="1"/>
    </xf>
    <xf borderId="0" fillId="0" fontId="1" numFmtId="49" xfId="0" applyAlignment="1" applyFont="1" applyNumberFormat="1">
      <alignment shrinkToFit="0" vertical="bottom" wrapText="0"/>
    </xf>
    <xf borderId="35" fillId="0" fontId="14" numFmtId="49" xfId="0" applyAlignment="1" applyBorder="1" applyFont="1" applyNumberFormat="1">
      <alignment horizontal="center" shrinkToFit="0" vertical="center" wrapText="1"/>
    </xf>
    <xf borderId="36" fillId="0" fontId="2" numFmtId="0" xfId="0" applyBorder="1" applyFont="1"/>
    <xf borderId="37" fillId="0" fontId="2" numFmtId="0" xfId="0" applyBorder="1" applyFont="1"/>
    <xf borderId="38" fillId="0" fontId="2" numFmtId="0" xfId="0" applyBorder="1" applyFont="1"/>
    <xf borderId="39" fillId="0" fontId="2" numFmtId="0" xfId="0" applyBorder="1" applyFont="1"/>
    <xf borderId="40" fillId="0" fontId="2" numFmtId="0" xfId="0" applyBorder="1" applyFont="1"/>
    <xf borderId="41" fillId="0" fontId="2" numFmtId="0" xfId="0" applyBorder="1" applyFont="1"/>
    <xf borderId="42" fillId="0" fontId="2" numFmtId="0" xfId="0" applyBorder="1" applyFont="1"/>
    <xf borderId="1" fillId="2" fontId="15" numFmtId="0" xfId="0" applyAlignment="1" applyBorder="1" applyFont="1">
      <alignment horizontal="center" shrinkToFit="0" vertical="bottom" wrapText="0"/>
    </xf>
    <xf borderId="6" fillId="4" fontId="1" numFmtId="49" xfId="0" applyAlignment="1" applyBorder="1" applyFont="1" applyNumberFormat="1">
      <alignment horizontal="center" shrinkToFit="0" vertical="center" wrapText="0"/>
    </xf>
    <xf borderId="9" fillId="4" fontId="16" numFmtId="0" xfId="0" applyBorder="1" applyFont="1"/>
    <xf borderId="7" fillId="4" fontId="1" numFmtId="49" xfId="0" applyAlignment="1" applyBorder="1" applyFont="1" applyNumberFormat="1">
      <alignment horizontal="center" shrinkToFit="0" vertical="center" wrapText="1"/>
    </xf>
    <xf borderId="3" fillId="4" fontId="4" numFmtId="0" xfId="0" applyAlignment="1" applyBorder="1" applyFont="1">
      <alignment horizontal="center" shrinkToFit="0" vertical="center" wrapText="1"/>
    </xf>
    <xf borderId="9" fillId="4" fontId="1" numFmtId="0" xfId="0" applyAlignment="1" applyBorder="1" applyFont="1">
      <alignment shrinkToFit="0" vertical="bottom" wrapText="0"/>
    </xf>
    <xf borderId="3" fillId="4" fontId="1" numFmtId="0" xfId="0" applyAlignment="1" applyBorder="1" applyFont="1">
      <alignment horizontal="center" shrinkToFit="0" vertical="center" wrapText="1"/>
    </xf>
    <xf borderId="0" fillId="0" fontId="5" numFmtId="164" xfId="0" applyAlignment="1" applyFont="1" applyNumberFormat="1">
      <alignment shrinkToFit="0" vertical="bottom" wrapText="0"/>
    </xf>
    <xf borderId="0" fillId="0" fontId="5" numFmtId="10" xfId="0" applyAlignment="1" applyFont="1" applyNumberFormat="1">
      <alignment horizontal="right" shrinkToFit="0" vertical="bottom" wrapText="0"/>
    </xf>
    <xf borderId="3" fillId="4" fontId="4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shrinkToFit="0" vertical="bottom" wrapText="0"/>
    </xf>
    <xf borderId="0" fillId="0" fontId="8" numFmtId="164" xfId="0" applyAlignment="1" applyFont="1" applyNumberFormat="1">
      <alignment shrinkToFit="0" vertical="bottom" wrapText="0"/>
    </xf>
    <xf borderId="0" fillId="0" fontId="5" numFmtId="164" xfId="0" applyAlignment="1" applyFont="1" applyNumberFormat="1">
      <alignment horizontal="right" shrinkToFit="0" vertical="bottom" wrapText="0"/>
    </xf>
    <xf borderId="3" fillId="4" fontId="6" numFmtId="0" xfId="0" applyAlignment="1" applyBorder="1" applyFont="1">
      <alignment horizontal="center" shrinkToFit="0" vertical="center" wrapText="1"/>
    </xf>
    <xf borderId="0" fillId="0" fontId="8" numFmtId="164" xfId="0" applyAlignment="1" applyFont="1" applyNumberFormat="1">
      <alignment horizontal="right" shrinkToFit="0" vertical="bottom" wrapText="0"/>
    </xf>
    <xf borderId="3" fillId="4" fontId="6" numFmtId="0" xfId="0" applyAlignment="1" applyBorder="1" applyFont="1">
      <alignment horizontal="center" readingOrder="0" shrinkToFit="0" vertical="bottom" wrapText="1"/>
    </xf>
    <xf borderId="0" fillId="0" fontId="15" numFmtId="0" xfId="0" applyAlignment="1" applyFont="1">
      <alignment horizontal="center" shrinkToFit="0" vertical="bottom" wrapText="0"/>
    </xf>
    <xf borderId="30" fillId="0" fontId="17" numFmtId="0" xfId="0" applyAlignment="1" applyBorder="1" applyFont="1">
      <alignment horizontal="center" shrinkToFit="0" vertical="bottom" wrapText="0"/>
    </xf>
    <xf borderId="33" fillId="0" fontId="17" numFmtId="0" xfId="0" applyAlignment="1" applyBorder="1" applyFont="1">
      <alignment horizontal="center" shrinkToFit="0" vertical="bottom" wrapText="0"/>
    </xf>
    <xf borderId="43" fillId="0" fontId="17" numFmtId="0" xfId="0" applyAlignment="1" applyBorder="1" applyFont="1">
      <alignment horizontal="center" shrinkToFit="0" vertical="bottom" wrapText="0"/>
    </xf>
    <xf borderId="44" fillId="0" fontId="2" numFmtId="0" xfId="0" applyBorder="1" applyFont="1"/>
    <xf borderId="45" fillId="0" fontId="2" numFmtId="0" xfId="0" applyBorder="1" applyFont="1"/>
    <xf borderId="33" fillId="0" fontId="17" numFmtId="0" xfId="0" applyAlignment="1" applyBorder="1" applyFont="1">
      <alignment horizontal="center" shrinkToFit="0" vertical="bottom" wrapText="1"/>
    </xf>
    <xf borderId="46" fillId="0" fontId="2" numFmtId="0" xfId="0" applyBorder="1" applyFont="1"/>
    <xf borderId="47" fillId="0" fontId="2" numFmtId="0" xfId="0" applyBorder="1" applyFont="1"/>
    <xf borderId="48" fillId="0" fontId="2" numFmtId="0" xfId="0" applyBorder="1" applyFont="1"/>
    <xf borderId="13" fillId="0" fontId="17" numFmtId="0" xfId="0" applyAlignment="1" applyBorder="1" applyFont="1">
      <alignment horizontal="center" shrinkToFit="0" vertical="bottom" wrapText="0"/>
    </xf>
    <xf borderId="13" fillId="0" fontId="18" numFmtId="0" xfId="0" applyAlignment="1" applyBorder="1" applyFont="1">
      <alignment horizontal="center" shrinkToFit="0" vertical="bottom" wrapText="0"/>
    </xf>
    <xf borderId="30" fillId="0" fontId="6" numFmtId="0" xfId="0" applyAlignment="1" applyBorder="1" applyFont="1">
      <alignment shrinkToFit="0" vertical="bottom" wrapText="0"/>
    </xf>
    <xf borderId="13" fillId="0" fontId="7" numFmtId="166" xfId="0" applyAlignment="1" applyBorder="1" applyFont="1" applyNumberFormat="1">
      <alignment shrinkToFit="0" vertical="bottom" wrapText="0"/>
    </xf>
    <xf borderId="13" fillId="0" fontId="18" numFmtId="10" xfId="0" applyAlignment="1" applyBorder="1" applyFont="1" applyNumberFormat="1">
      <alignment horizontal="center" readingOrder="0" shrinkToFit="0" vertical="bottom" wrapText="0"/>
    </xf>
    <xf borderId="13" fillId="0" fontId="7" numFmtId="0" xfId="0" applyAlignment="1" applyBorder="1" applyFont="1">
      <alignment shrinkToFit="0" vertical="bottom" wrapText="0"/>
    </xf>
    <xf borderId="13" fillId="0" fontId="6" numFmtId="10" xfId="0" applyAlignment="1" applyBorder="1" applyFont="1" applyNumberFormat="1">
      <alignment horizontal="center" shrinkToFit="0" vertical="bottom" wrapText="0"/>
    </xf>
    <xf borderId="13" fillId="0" fontId="18" numFmtId="10" xfId="0" applyAlignment="1" applyBorder="1" applyFont="1" applyNumberFormat="1">
      <alignment horizontal="center" shrinkToFit="0" vertical="bottom" wrapText="0"/>
    </xf>
    <xf borderId="43" fillId="0" fontId="6" numFmtId="0" xfId="0" applyAlignment="1" applyBorder="1" applyFont="1">
      <alignment shrinkToFit="0" vertical="top" wrapText="0"/>
    </xf>
    <xf borderId="13" fillId="0" fontId="18" numFmtId="169" xfId="0" applyAlignment="1" applyBorder="1" applyFont="1" applyNumberFormat="1">
      <alignment horizontal="right" shrinkToFit="0" vertical="bottom" wrapText="0"/>
    </xf>
    <xf borderId="49" fillId="0" fontId="2" numFmtId="0" xfId="0" applyBorder="1" applyFont="1"/>
    <xf borderId="50" fillId="0" fontId="2" numFmtId="0" xfId="0" applyBorder="1" applyFont="1"/>
    <xf borderId="47" fillId="0" fontId="7" numFmtId="0" xfId="0" applyAlignment="1" applyBorder="1" applyFont="1">
      <alignment shrinkToFit="0" vertical="bottom" wrapText="0"/>
    </xf>
    <xf borderId="13" fillId="0" fontId="19" numFmtId="10" xfId="0" applyAlignment="1" applyBorder="1" applyFont="1" applyNumberForma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50" fillId="0" fontId="7" numFmtId="0" xfId="0" applyAlignment="1" applyBorder="1" applyFont="1">
      <alignment shrinkToFit="0" vertical="bottom" wrapText="0"/>
    </xf>
    <xf borderId="30" fillId="0" fontId="18" numFmtId="0" xfId="0" applyAlignment="1" applyBorder="1" applyFont="1">
      <alignment horizontal="center" shrinkToFit="0" vertical="bottom" wrapText="0"/>
    </xf>
    <xf borderId="13" fillId="0" fontId="18" numFmtId="0" xfId="0" applyAlignment="1" applyBorder="1" applyFont="1">
      <alignment horizontal="left" shrinkToFit="0" vertical="bottom" wrapText="0"/>
    </xf>
    <xf borderId="48" fillId="0" fontId="7" numFmtId="0" xfId="0" applyAlignment="1" applyBorder="1" applyFont="1">
      <alignment shrinkToFit="0" vertical="bottom" wrapText="0"/>
    </xf>
    <xf borderId="30" fillId="2" fontId="7" numFmtId="0" xfId="0" applyAlignment="1" applyBorder="1" applyFont="1">
      <alignment shrinkToFit="0" vertical="bottom" wrapText="0"/>
    </xf>
    <xf borderId="33" fillId="0" fontId="17" numFmtId="49" xfId="0" applyAlignment="1" applyBorder="1" applyFont="1" applyNumberFormat="1">
      <alignment horizontal="center" shrinkToFit="0" vertical="bottom" wrapText="0"/>
    </xf>
    <xf borderId="51" fillId="0" fontId="2" numFmtId="0" xfId="0" applyBorder="1" applyFont="1"/>
    <xf borderId="13" fillId="0" fontId="18" numFmtId="0" xfId="0" applyAlignment="1" applyBorder="1" applyFont="1">
      <alignment shrinkToFit="0" vertical="bottom" wrapText="0"/>
    </xf>
    <xf borderId="30" fillId="0" fontId="20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476250</xdr:colOff>
      <xdr:row>1</xdr:row>
      <xdr:rowOff>152400</xdr:rowOff>
    </xdr:from>
    <xdr:ext cx="1304925" cy="1381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504825</xdr:colOff>
      <xdr:row>2</xdr:row>
      <xdr:rowOff>19050</xdr:rowOff>
    </xdr:from>
    <xdr:ext cx="1209675" cy="1352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428625</xdr:colOff>
      <xdr:row>2</xdr:row>
      <xdr:rowOff>19050</xdr:rowOff>
    </xdr:from>
    <xdr:ext cx="1323975" cy="14573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800600" cy="8763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45</xdr:row>
      <xdr:rowOff>180975</xdr:rowOff>
    </xdr:from>
    <xdr:ext cx="4800600" cy="8953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19.57"/>
    <col customWidth="1" min="3" max="3" width="11.57"/>
    <col customWidth="1" min="4" max="4" width="43.0"/>
    <col customWidth="1" min="5" max="5" width="5.0"/>
    <col customWidth="1" min="6" max="6" width="12.43"/>
    <col customWidth="1" min="7" max="7" width="13.29"/>
    <col customWidth="1" min="8" max="8" width="13.86"/>
    <col customWidth="1" min="9" max="9" width="12.43"/>
    <col customWidth="1" min="10" max="12" width="15.29"/>
    <col customWidth="1" min="13" max="13" width="18.0"/>
    <col customWidth="1" min="14" max="14" width="14.71"/>
    <col customWidth="1" min="15" max="15" width="12.14"/>
    <col customWidth="1" min="16" max="34" width="8.71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ht="16.5" customHeight="1">
      <c r="A3" s="8"/>
      <c r="B3" s="9"/>
      <c r="C3" s="10"/>
      <c r="D3" s="11" t="s">
        <v>0</v>
      </c>
      <c r="E3" s="6"/>
      <c r="F3" s="6"/>
      <c r="G3" s="7"/>
      <c r="H3" s="12"/>
      <c r="I3" s="12"/>
      <c r="J3" s="12"/>
      <c r="K3" s="12"/>
      <c r="L3" s="13"/>
      <c r="M3" s="14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ht="12.75" customHeight="1">
      <c r="A4" s="15"/>
      <c r="B4" s="16"/>
      <c r="C4" s="17"/>
      <c r="D4" s="18" t="s">
        <v>1</v>
      </c>
      <c r="E4" s="6"/>
      <c r="F4" s="6"/>
      <c r="G4" s="7"/>
      <c r="H4" s="19"/>
      <c r="I4" s="12"/>
      <c r="J4" s="12"/>
      <c r="K4" s="20"/>
      <c r="L4" s="21" t="s">
        <v>2</v>
      </c>
      <c r="M4" s="22">
        <v>0.2787</v>
      </c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ht="12.75" customHeight="1">
      <c r="A5" s="15"/>
      <c r="B5" s="16"/>
      <c r="C5" s="17"/>
      <c r="D5" s="23" t="s">
        <v>3</v>
      </c>
      <c r="E5" s="6"/>
      <c r="F5" s="6"/>
      <c r="G5" s="7"/>
      <c r="H5" s="19"/>
      <c r="I5" s="12"/>
      <c r="J5" s="12"/>
      <c r="K5" s="20"/>
      <c r="L5" s="21" t="s">
        <v>4</v>
      </c>
      <c r="M5" s="24">
        <v>0.1635</v>
      </c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ht="15.0" customHeight="1">
      <c r="A6" s="15"/>
      <c r="B6" s="16"/>
      <c r="C6" s="17"/>
      <c r="D6" s="25" t="s">
        <v>5</v>
      </c>
      <c r="E6" s="6"/>
      <c r="F6" s="6"/>
      <c r="G6" s="7"/>
      <c r="H6" s="26"/>
      <c r="I6" s="27"/>
      <c r="J6" s="27"/>
      <c r="K6" s="28"/>
      <c r="L6" s="29" t="s">
        <v>6</v>
      </c>
      <c r="M6" s="30">
        <f>M7/(1+M4)</f>
        <v>24537.0586</v>
      </c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ht="13.5" customHeight="1">
      <c r="A7" s="15"/>
      <c r="B7" s="16"/>
      <c r="C7" s="17"/>
      <c r="D7" s="31" t="s">
        <v>7</v>
      </c>
      <c r="E7" s="6"/>
      <c r="F7" s="6"/>
      <c r="G7" s="7"/>
      <c r="H7" s="26"/>
      <c r="I7" s="27"/>
      <c r="J7" s="27"/>
      <c r="K7" s="28"/>
      <c r="L7" s="29" t="s">
        <v>8</v>
      </c>
      <c r="M7" s="32">
        <f>SUM(N15:N41)</f>
        <v>31375.53683</v>
      </c>
      <c r="N7" s="33"/>
      <c r="O7" s="3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ht="22.5" customHeight="1">
      <c r="A8" s="15"/>
      <c r="B8" s="16"/>
      <c r="C8" s="17"/>
      <c r="D8" s="35" t="s">
        <v>9</v>
      </c>
      <c r="E8" s="6"/>
      <c r="F8" s="6"/>
      <c r="G8" s="7"/>
      <c r="H8" s="19"/>
      <c r="I8" s="12"/>
      <c r="J8" s="12"/>
      <c r="K8" s="12"/>
      <c r="L8" s="36"/>
      <c r="M8" s="37" t="s">
        <v>10</v>
      </c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ht="27.75" customHeight="1">
      <c r="A9" s="38"/>
      <c r="B9" s="39"/>
      <c r="C9" s="40"/>
      <c r="D9" s="31" t="s">
        <v>11</v>
      </c>
      <c r="E9" s="6"/>
      <c r="F9" s="6"/>
      <c r="G9" s="7"/>
      <c r="H9" s="19"/>
      <c r="I9" s="12"/>
      <c r="J9" s="12"/>
      <c r="K9" s="12"/>
      <c r="L9" s="12"/>
      <c r="M9" s="41"/>
      <c r="N9" s="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ht="12.75" customHeight="1">
      <c r="A10" s="42"/>
      <c r="M10" s="43"/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ht="15.0" customHeight="1">
      <c r="A11" s="44" t="s">
        <v>12</v>
      </c>
      <c r="B11" s="45" t="s">
        <v>13</v>
      </c>
      <c r="C11" s="45" t="s">
        <v>14</v>
      </c>
      <c r="D11" s="46" t="s">
        <v>15</v>
      </c>
      <c r="E11" s="44" t="s">
        <v>16</v>
      </c>
      <c r="F11" s="47" t="s">
        <v>17</v>
      </c>
      <c r="G11" s="48" t="s">
        <v>18</v>
      </c>
      <c r="H11" s="2"/>
      <c r="I11" s="2"/>
      <c r="J11" s="48" t="s">
        <v>19</v>
      </c>
      <c r="K11" s="2"/>
      <c r="L11" s="2"/>
      <c r="M11" s="46" t="s">
        <v>20</v>
      </c>
      <c r="N11" s="49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</row>
    <row r="12" ht="12.75" customHeight="1">
      <c r="A12" s="51"/>
      <c r="B12" s="51"/>
      <c r="C12" s="51"/>
      <c r="D12" s="51"/>
      <c r="E12" s="51"/>
      <c r="F12" s="51"/>
      <c r="G12" s="52" t="s">
        <v>21</v>
      </c>
      <c r="H12" s="52" t="s">
        <v>22</v>
      </c>
      <c r="I12" s="52" t="s">
        <v>23</v>
      </c>
      <c r="J12" s="53" t="s">
        <v>24</v>
      </c>
      <c r="K12" s="53" t="s">
        <v>22</v>
      </c>
      <c r="L12" s="53" t="s">
        <v>23</v>
      </c>
      <c r="M12" s="51"/>
      <c r="N12" s="49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</row>
    <row r="13" ht="12.75" customHeight="1">
      <c r="A13" s="42"/>
      <c r="M13" s="43"/>
      <c r="N13" s="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ht="12.75" customHeight="1">
      <c r="A14" s="54"/>
      <c r="B14" s="55"/>
      <c r="C14" s="54"/>
      <c r="D14" s="56" t="s">
        <v>25</v>
      </c>
      <c r="E14" s="57"/>
      <c r="F14" s="57"/>
      <c r="G14" s="57"/>
      <c r="H14" s="57"/>
      <c r="I14" s="57"/>
      <c r="J14" s="58"/>
      <c r="K14" s="58"/>
      <c r="L14" s="58"/>
      <c r="M14" s="58"/>
      <c r="N14" s="3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>
      <c r="A15" s="60" t="s">
        <v>26</v>
      </c>
      <c r="B15" s="61"/>
      <c r="C15" s="62"/>
      <c r="D15" s="63" t="s">
        <v>27</v>
      </c>
      <c r="E15" s="60"/>
      <c r="F15" s="64"/>
      <c r="G15" s="65"/>
      <c r="H15" s="65"/>
      <c r="I15" s="65"/>
      <c r="J15" s="65">
        <f t="shared" ref="J15:M15" si="1">SUM(J16:J26)</f>
        <v>3065.33504</v>
      </c>
      <c r="K15" s="65">
        <f t="shared" si="1"/>
        <v>1221.54356</v>
      </c>
      <c r="L15" s="65">
        <f t="shared" si="1"/>
        <v>4286.8786</v>
      </c>
      <c r="M15" s="65">
        <f t="shared" si="1"/>
        <v>5481.631666</v>
      </c>
      <c r="N15" s="66">
        <f>M15</f>
        <v>5481.631666</v>
      </c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</row>
    <row r="16">
      <c r="A16" s="68" t="s">
        <v>28</v>
      </c>
      <c r="B16" s="69" t="s">
        <v>29</v>
      </c>
      <c r="C16" s="70" t="s">
        <v>30</v>
      </c>
      <c r="D16" s="71" t="s">
        <v>31</v>
      </c>
      <c r="E16" s="68" t="s">
        <v>32</v>
      </c>
      <c r="F16" s="72">
        <f>0.33*3.4</f>
        <v>1.122</v>
      </c>
      <c r="G16" s="73">
        <v>371.52</v>
      </c>
      <c r="H16" s="73">
        <v>48.35</v>
      </c>
      <c r="I16" s="74">
        <f t="shared" ref="I16:I26" si="2">G16+H16</f>
        <v>419.87</v>
      </c>
      <c r="J16" s="74">
        <f t="shared" ref="J16:J26" si="3">G16*F16</f>
        <v>416.84544</v>
      </c>
      <c r="K16" s="74">
        <f t="shared" ref="K16:K26" si="4">H16*F16</f>
        <v>54.2487</v>
      </c>
      <c r="L16" s="74">
        <f t="shared" ref="L16:L26" si="5">J16+K16</f>
        <v>471.09414</v>
      </c>
      <c r="M16" s="75">
        <f t="shared" ref="M16:M26" si="6">L16*(1+$M$4)</f>
        <v>602.3880768</v>
      </c>
      <c r="N16" s="76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</row>
    <row r="17">
      <c r="A17" s="68" t="s">
        <v>33</v>
      </c>
      <c r="B17" s="69" t="s">
        <v>34</v>
      </c>
      <c r="C17" s="70" t="s">
        <v>35</v>
      </c>
      <c r="D17" s="71" t="s">
        <v>36</v>
      </c>
      <c r="E17" s="68" t="s">
        <v>32</v>
      </c>
      <c r="F17" s="72">
        <f>2*2*0.2*0.3</f>
        <v>0.24</v>
      </c>
      <c r="G17" s="73">
        <v>600.13</v>
      </c>
      <c r="H17" s="73">
        <v>212.53</v>
      </c>
      <c r="I17" s="74">
        <f t="shared" si="2"/>
        <v>812.66</v>
      </c>
      <c r="J17" s="74">
        <f t="shared" si="3"/>
        <v>144.0312</v>
      </c>
      <c r="K17" s="74">
        <f t="shared" si="4"/>
        <v>51.0072</v>
      </c>
      <c r="L17" s="74">
        <f t="shared" si="5"/>
        <v>195.0384</v>
      </c>
      <c r="M17" s="75">
        <f t="shared" si="6"/>
        <v>249.3956021</v>
      </c>
      <c r="N17" s="78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</row>
    <row r="18">
      <c r="A18" s="68" t="s">
        <v>37</v>
      </c>
      <c r="B18" s="69" t="s">
        <v>38</v>
      </c>
      <c r="C18" s="70" t="s">
        <v>39</v>
      </c>
      <c r="D18" s="71" t="s">
        <v>40</v>
      </c>
      <c r="E18" s="68" t="s">
        <v>41</v>
      </c>
      <c r="F18" s="72">
        <f>2*4*2*0.62</f>
        <v>9.92</v>
      </c>
      <c r="G18" s="73">
        <v>11.38</v>
      </c>
      <c r="H18" s="73">
        <v>2.41</v>
      </c>
      <c r="I18" s="74">
        <f t="shared" si="2"/>
        <v>13.79</v>
      </c>
      <c r="J18" s="74">
        <f t="shared" si="3"/>
        <v>112.8896</v>
      </c>
      <c r="K18" s="74">
        <f t="shared" si="4"/>
        <v>23.9072</v>
      </c>
      <c r="L18" s="74">
        <f t="shared" si="5"/>
        <v>136.7968</v>
      </c>
      <c r="M18" s="75">
        <f t="shared" si="6"/>
        <v>174.9220682</v>
      </c>
      <c r="N18" s="78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</row>
    <row r="19">
      <c r="A19" s="68" t="s">
        <v>42</v>
      </c>
      <c r="B19" s="69" t="s">
        <v>43</v>
      </c>
      <c r="C19" s="70" t="s">
        <v>44</v>
      </c>
      <c r="D19" s="71" t="s">
        <v>45</v>
      </c>
      <c r="E19" s="68" t="s">
        <v>41</v>
      </c>
      <c r="F19" s="72">
        <f>(400/20)*(0.24+0.24+0.14+0.14+0.06)*0.16</f>
        <v>2.624</v>
      </c>
      <c r="G19" s="73">
        <v>12.83</v>
      </c>
      <c r="H19" s="73">
        <v>6.04</v>
      </c>
      <c r="I19" s="74">
        <f t="shared" si="2"/>
        <v>18.87</v>
      </c>
      <c r="J19" s="74">
        <f t="shared" si="3"/>
        <v>33.66592</v>
      </c>
      <c r="K19" s="74">
        <f t="shared" si="4"/>
        <v>15.84896</v>
      </c>
      <c r="L19" s="74">
        <f t="shared" si="5"/>
        <v>49.51488</v>
      </c>
      <c r="M19" s="75">
        <f t="shared" si="6"/>
        <v>63.31467706</v>
      </c>
      <c r="N19" s="78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</row>
    <row r="20">
      <c r="A20" s="68" t="s">
        <v>46</v>
      </c>
      <c r="B20" s="69" t="s">
        <v>34</v>
      </c>
      <c r="C20" s="70" t="s">
        <v>47</v>
      </c>
      <c r="D20" s="71" t="s">
        <v>48</v>
      </c>
      <c r="E20" s="68" t="s">
        <v>49</v>
      </c>
      <c r="F20" s="72">
        <f>2*2*(0.2+0.3+0.2+0.3)</f>
        <v>4</v>
      </c>
      <c r="G20" s="73">
        <v>251.56</v>
      </c>
      <c r="H20" s="73">
        <v>20.16</v>
      </c>
      <c r="I20" s="74">
        <f t="shared" si="2"/>
        <v>271.72</v>
      </c>
      <c r="J20" s="74">
        <f t="shared" si="3"/>
        <v>1006.24</v>
      </c>
      <c r="K20" s="74">
        <f t="shared" si="4"/>
        <v>80.64</v>
      </c>
      <c r="L20" s="74">
        <f t="shared" si="5"/>
        <v>1086.88</v>
      </c>
      <c r="M20" s="75">
        <f t="shared" si="6"/>
        <v>1389.793456</v>
      </c>
      <c r="N20" s="78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</row>
    <row r="21">
      <c r="A21" s="68" t="s">
        <v>50</v>
      </c>
      <c r="B21" s="69" t="s">
        <v>51</v>
      </c>
      <c r="C21" s="70" t="s">
        <v>52</v>
      </c>
      <c r="D21" s="71" t="s">
        <v>53</v>
      </c>
      <c r="E21" s="68" t="s">
        <v>49</v>
      </c>
      <c r="F21" s="80">
        <f>1.69*3.4</f>
        <v>5.746</v>
      </c>
      <c r="G21" s="73">
        <f>75.42</f>
        <v>75.42</v>
      </c>
      <c r="H21" s="73">
        <f>67.29</f>
        <v>67.29</v>
      </c>
      <c r="I21" s="74">
        <f t="shared" si="2"/>
        <v>142.71</v>
      </c>
      <c r="J21" s="74">
        <f t="shared" si="3"/>
        <v>433.36332</v>
      </c>
      <c r="K21" s="74">
        <f t="shared" si="4"/>
        <v>386.64834</v>
      </c>
      <c r="L21" s="74">
        <f t="shared" si="5"/>
        <v>820.01166</v>
      </c>
      <c r="M21" s="75">
        <f t="shared" si="6"/>
        <v>1048.54891</v>
      </c>
      <c r="N21" s="78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</row>
    <row r="22">
      <c r="A22" s="68" t="s">
        <v>54</v>
      </c>
      <c r="B22" s="69" t="s">
        <v>55</v>
      </c>
      <c r="C22" s="70" t="s">
        <v>56</v>
      </c>
      <c r="D22" s="71" t="s">
        <v>57</v>
      </c>
      <c r="E22" s="68" t="s">
        <v>49</v>
      </c>
      <c r="F22" s="72">
        <f>F21+F21+F25+F25</f>
        <v>16.092</v>
      </c>
      <c r="G22" s="73">
        <v>2.33</v>
      </c>
      <c r="H22" s="73">
        <v>2.28</v>
      </c>
      <c r="I22" s="74">
        <f t="shared" si="2"/>
        <v>4.61</v>
      </c>
      <c r="J22" s="74">
        <f t="shared" si="3"/>
        <v>37.49436</v>
      </c>
      <c r="K22" s="74">
        <f t="shared" si="4"/>
        <v>36.68976</v>
      </c>
      <c r="L22" s="74">
        <f t="shared" si="5"/>
        <v>74.18412</v>
      </c>
      <c r="M22" s="75">
        <f t="shared" si="6"/>
        <v>94.85923424</v>
      </c>
      <c r="N22" s="78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</row>
    <row r="23">
      <c r="A23" s="68" t="s">
        <v>58</v>
      </c>
      <c r="B23" s="69" t="s">
        <v>59</v>
      </c>
      <c r="C23" s="70" t="s">
        <v>60</v>
      </c>
      <c r="D23" s="71" t="s">
        <v>61</v>
      </c>
      <c r="E23" s="68" t="s">
        <v>49</v>
      </c>
      <c r="F23" s="72">
        <v>17.88</v>
      </c>
      <c r="G23" s="73">
        <v>19.96</v>
      </c>
      <c r="H23" s="73">
        <v>18.64</v>
      </c>
      <c r="I23" s="74">
        <f t="shared" si="2"/>
        <v>38.6</v>
      </c>
      <c r="J23" s="74">
        <f t="shared" si="3"/>
        <v>356.8848</v>
      </c>
      <c r="K23" s="74">
        <f t="shared" si="4"/>
        <v>333.2832</v>
      </c>
      <c r="L23" s="74">
        <f t="shared" si="5"/>
        <v>690.168</v>
      </c>
      <c r="M23" s="75">
        <f t="shared" si="6"/>
        <v>882.5178216</v>
      </c>
      <c r="N23" s="78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</row>
    <row r="24">
      <c r="A24" s="68" t="s">
        <v>62</v>
      </c>
      <c r="B24" s="69" t="s">
        <v>63</v>
      </c>
      <c r="C24" s="70" t="s">
        <v>64</v>
      </c>
      <c r="D24" s="71" t="s">
        <v>65</v>
      </c>
      <c r="E24" s="68" t="s">
        <v>49</v>
      </c>
      <c r="F24" s="72">
        <v>17.88</v>
      </c>
      <c r="G24" s="73">
        <v>8.53</v>
      </c>
      <c r="H24" s="73">
        <v>8.49</v>
      </c>
      <c r="I24" s="74">
        <f t="shared" si="2"/>
        <v>17.02</v>
      </c>
      <c r="J24" s="74">
        <f t="shared" si="3"/>
        <v>152.5164</v>
      </c>
      <c r="K24" s="74">
        <f t="shared" si="4"/>
        <v>151.8012</v>
      </c>
      <c r="L24" s="74">
        <f t="shared" si="5"/>
        <v>304.3176</v>
      </c>
      <c r="M24" s="75">
        <f t="shared" si="6"/>
        <v>389.1309151</v>
      </c>
      <c r="N24" s="78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</row>
    <row r="25">
      <c r="A25" s="68" t="s">
        <v>66</v>
      </c>
      <c r="B25" s="69" t="s">
        <v>67</v>
      </c>
      <c r="C25" s="70" t="s">
        <v>68</v>
      </c>
      <c r="D25" s="71" t="s">
        <v>69</v>
      </c>
      <c r="E25" s="68" t="s">
        <v>49</v>
      </c>
      <c r="F25" s="80">
        <v>2.3</v>
      </c>
      <c r="G25" s="73">
        <v>147.81</v>
      </c>
      <c r="H25" s="73">
        <v>25.13</v>
      </c>
      <c r="I25" s="74">
        <f t="shared" si="2"/>
        <v>172.94</v>
      </c>
      <c r="J25" s="74">
        <f t="shared" si="3"/>
        <v>339.963</v>
      </c>
      <c r="K25" s="74">
        <f t="shared" si="4"/>
        <v>57.799</v>
      </c>
      <c r="L25" s="74">
        <f t="shared" si="5"/>
        <v>397.762</v>
      </c>
      <c r="M25" s="75">
        <f t="shared" si="6"/>
        <v>508.6182694</v>
      </c>
      <c r="N25" s="78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</row>
    <row r="26">
      <c r="A26" s="68" t="s">
        <v>70</v>
      </c>
      <c r="B26" s="69" t="s">
        <v>71</v>
      </c>
      <c r="C26" s="70" t="s">
        <v>72</v>
      </c>
      <c r="D26" s="71" t="s">
        <v>73</v>
      </c>
      <c r="E26" s="68" t="s">
        <v>49</v>
      </c>
      <c r="F26" s="80">
        <v>2.3</v>
      </c>
      <c r="G26" s="73">
        <v>13.67</v>
      </c>
      <c r="H26" s="73">
        <v>12.9</v>
      </c>
      <c r="I26" s="74">
        <f t="shared" si="2"/>
        <v>26.57</v>
      </c>
      <c r="J26" s="74">
        <f t="shared" si="3"/>
        <v>31.441</v>
      </c>
      <c r="K26" s="74">
        <f t="shared" si="4"/>
        <v>29.67</v>
      </c>
      <c r="L26" s="74">
        <f t="shared" si="5"/>
        <v>61.111</v>
      </c>
      <c r="M26" s="75">
        <f t="shared" si="6"/>
        <v>78.1426357</v>
      </c>
      <c r="N26" s="78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</row>
    <row r="27">
      <c r="A27" s="81" t="s">
        <v>74</v>
      </c>
      <c r="B27" s="61"/>
      <c r="C27" s="62"/>
      <c r="D27" s="63" t="s">
        <v>75</v>
      </c>
      <c r="E27" s="60"/>
      <c r="F27" s="64"/>
      <c r="G27" s="65"/>
      <c r="H27" s="65"/>
      <c r="I27" s="65"/>
      <c r="J27" s="65">
        <f t="shared" ref="J27:M27" si="7">SUM(J28:J31)</f>
        <v>2323.6</v>
      </c>
      <c r="K27" s="65">
        <f t="shared" si="7"/>
        <v>230.84</v>
      </c>
      <c r="L27" s="65">
        <f t="shared" si="7"/>
        <v>2554.44</v>
      </c>
      <c r="M27" s="65">
        <f t="shared" si="7"/>
        <v>3266.362428</v>
      </c>
      <c r="N27" s="82">
        <f>M27</f>
        <v>3266.362428</v>
      </c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</row>
    <row r="28">
      <c r="A28" s="68" t="s">
        <v>76</v>
      </c>
      <c r="B28" s="69" t="s">
        <v>77</v>
      </c>
      <c r="C28" s="70" t="s">
        <v>78</v>
      </c>
      <c r="D28" s="71" t="s">
        <v>79</v>
      </c>
      <c r="E28" s="68" t="s">
        <v>80</v>
      </c>
      <c r="F28" s="72">
        <f>7*3*2</f>
        <v>42</v>
      </c>
      <c r="G28" s="73">
        <v>0.16</v>
      </c>
      <c r="H28" s="73">
        <v>0.5</v>
      </c>
      <c r="I28" s="74">
        <f t="shared" ref="I28:I33" si="8">G28+H28</f>
        <v>0.66</v>
      </c>
      <c r="J28" s="74">
        <f t="shared" ref="J28:J33" si="9">G28*F28</f>
        <v>6.72</v>
      </c>
      <c r="K28" s="74">
        <f t="shared" ref="K28:K33" si="10">H28*F28</f>
        <v>21</v>
      </c>
      <c r="L28" s="74">
        <f t="shared" ref="L28:L33" si="11">J28+K28</f>
        <v>27.72</v>
      </c>
      <c r="M28" s="75">
        <f t="shared" ref="M28:M33" si="12">L28*(1+$M$4)</f>
        <v>35.445564</v>
      </c>
      <c r="N28" s="76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</row>
    <row r="29">
      <c r="A29" s="68" t="s">
        <v>81</v>
      </c>
      <c r="B29" s="69" t="s">
        <v>82</v>
      </c>
      <c r="C29" s="70" t="s">
        <v>83</v>
      </c>
      <c r="D29" s="71" t="s">
        <v>84</v>
      </c>
      <c r="E29" s="68" t="s">
        <v>16</v>
      </c>
      <c r="F29" s="80">
        <v>3.0</v>
      </c>
      <c r="G29" s="73">
        <v>6.48</v>
      </c>
      <c r="H29" s="73">
        <v>21.94</v>
      </c>
      <c r="I29" s="74">
        <f t="shared" si="8"/>
        <v>28.42</v>
      </c>
      <c r="J29" s="74">
        <f t="shared" si="9"/>
        <v>19.44</v>
      </c>
      <c r="K29" s="74">
        <f t="shared" si="10"/>
        <v>65.82</v>
      </c>
      <c r="L29" s="74">
        <f t="shared" si="11"/>
        <v>85.26</v>
      </c>
      <c r="M29" s="75">
        <f t="shared" si="12"/>
        <v>109.021962</v>
      </c>
      <c r="N29" s="76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</row>
    <row r="30">
      <c r="A30" s="68" t="s">
        <v>85</v>
      </c>
      <c r="B30" s="69" t="s">
        <v>86</v>
      </c>
      <c r="C30" s="70" t="s">
        <v>87</v>
      </c>
      <c r="D30" s="71" t="s">
        <v>88</v>
      </c>
      <c r="E30" s="68" t="s">
        <v>16</v>
      </c>
      <c r="F30" s="80">
        <v>2.0</v>
      </c>
      <c r="G30" s="73">
        <v>16.82</v>
      </c>
      <c r="H30" s="73">
        <v>27.04</v>
      </c>
      <c r="I30" s="74">
        <f t="shared" si="8"/>
        <v>43.86</v>
      </c>
      <c r="J30" s="74">
        <f t="shared" si="9"/>
        <v>33.64</v>
      </c>
      <c r="K30" s="74">
        <f t="shared" si="10"/>
        <v>54.08</v>
      </c>
      <c r="L30" s="74">
        <f t="shared" si="11"/>
        <v>87.72</v>
      </c>
      <c r="M30" s="75">
        <f t="shared" si="12"/>
        <v>112.167564</v>
      </c>
      <c r="N30" s="76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</row>
    <row r="31">
      <c r="A31" s="68" t="s">
        <v>89</v>
      </c>
      <c r="B31" s="69" t="s">
        <v>90</v>
      </c>
      <c r="C31" s="70" t="s">
        <v>91</v>
      </c>
      <c r="D31" s="71" t="s">
        <v>92</v>
      </c>
      <c r="E31" s="68" t="s">
        <v>16</v>
      </c>
      <c r="F31" s="80">
        <v>1.0</v>
      </c>
      <c r="G31" s="73">
        <v>2263.8</v>
      </c>
      <c r="H31" s="73">
        <f>2353.74-G31</f>
        <v>89.94</v>
      </c>
      <c r="I31" s="74">
        <f t="shared" si="8"/>
        <v>2353.74</v>
      </c>
      <c r="J31" s="74">
        <f t="shared" si="9"/>
        <v>2263.8</v>
      </c>
      <c r="K31" s="74">
        <f t="shared" si="10"/>
        <v>89.94</v>
      </c>
      <c r="L31" s="74">
        <f t="shared" si="11"/>
        <v>2353.74</v>
      </c>
      <c r="M31" s="75">
        <f t="shared" si="12"/>
        <v>3009.727338</v>
      </c>
      <c r="N31" s="76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</row>
    <row r="32">
      <c r="A32" s="68" t="s">
        <v>93</v>
      </c>
      <c r="B32" s="69" t="s">
        <v>94</v>
      </c>
      <c r="C32" s="70" t="s">
        <v>95</v>
      </c>
      <c r="D32" s="71" t="s">
        <v>96</v>
      </c>
      <c r="E32" s="68" t="s">
        <v>80</v>
      </c>
      <c r="F32" s="80">
        <f>14+21</f>
        <v>35</v>
      </c>
      <c r="G32" s="73">
        <v>49.29</v>
      </c>
      <c r="H32" s="73">
        <v>6.41</v>
      </c>
      <c r="I32" s="74">
        <f t="shared" si="8"/>
        <v>55.7</v>
      </c>
      <c r="J32" s="74">
        <f t="shared" si="9"/>
        <v>1725.15</v>
      </c>
      <c r="K32" s="74">
        <f t="shared" si="10"/>
        <v>224.35</v>
      </c>
      <c r="L32" s="74">
        <f t="shared" si="11"/>
        <v>1949.5</v>
      </c>
      <c r="M32" s="75">
        <f t="shared" si="12"/>
        <v>2492.82565</v>
      </c>
      <c r="N32" s="84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</row>
    <row r="33">
      <c r="A33" s="68" t="s">
        <v>97</v>
      </c>
      <c r="B33" s="69" t="s">
        <v>98</v>
      </c>
      <c r="C33" s="70" t="s">
        <v>99</v>
      </c>
      <c r="D33" s="71" t="s">
        <v>100</v>
      </c>
      <c r="E33" s="68" t="s">
        <v>16</v>
      </c>
      <c r="F33" s="80">
        <v>2.0</v>
      </c>
      <c r="G33" s="73">
        <v>232.93</v>
      </c>
      <c r="H33" s="73">
        <v>49.21</v>
      </c>
      <c r="I33" s="74">
        <f t="shared" si="8"/>
        <v>282.14</v>
      </c>
      <c r="J33" s="74">
        <f t="shared" si="9"/>
        <v>465.86</v>
      </c>
      <c r="K33" s="74">
        <f t="shared" si="10"/>
        <v>98.42</v>
      </c>
      <c r="L33" s="74">
        <f t="shared" si="11"/>
        <v>564.28</v>
      </c>
      <c r="M33" s="75">
        <f t="shared" si="12"/>
        <v>721.544836</v>
      </c>
      <c r="N33" s="84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</row>
    <row r="34">
      <c r="A34" s="81" t="s">
        <v>101</v>
      </c>
      <c r="B34" s="61"/>
      <c r="C34" s="62"/>
      <c r="D34" s="63" t="s">
        <v>102</v>
      </c>
      <c r="E34" s="60"/>
      <c r="F34" s="64"/>
      <c r="G34" s="65"/>
      <c r="H34" s="65"/>
      <c r="I34" s="65"/>
      <c r="J34" s="65">
        <f t="shared" ref="J34:M34" si="13">SUM(J35:J38)</f>
        <v>6934.06</v>
      </c>
      <c r="K34" s="65">
        <f t="shared" si="13"/>
        <v>198.88</v>
      </c>
      <c r="L34" s="65">
        <f t="shared" si="13"/>
        <v>7132.94</v>
      </c>
      <c r="M34" s="65">
        <f t="shared" si="13"/>
        <v>9120.890378</v>
      </c>
      <c r="N34" s="82">
        <f>M34</f>
        <v>9120.890378</v>
      </c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</row>
    <row r="35">
      <c r="A35" s="68" t="s">
        <v>103</v>
      </c>
      <c r="B35" s="69" t="s">
        <v>104</v>
      </c>
      <c r="C35" s="70" t="s">
        <v>105</v>
      </c>
      <c r="D35" s="71" t="s">
        <v>106</v>
      </c>
      <c r="E35" s="68" t="s">
        <v>16</v>
      </c>
      <c r="F35" s="80">
        <v>1.0</v>
      </c>
      <c r="G35" s="73">
        <v>1589.11</v>
      </c>
      <c r="H35" s="73">
        <v>49.72</v>
      </c>
      <c r="I35" s="74">
        <f t="shared" ref="I35:I38" si="14">G35+H35</f>
        <v>1638.83</v>
      </c>
      <c r="J35" s="74">
        <f t="shared" ref="J35:J38" si="15">G35*F35</f>
        <v>1589.11</v>
      </c>
      <c r="K35" s="74">
        <f t="shared" ref="K35:K38" si="16">H35*F35</f>
        <v>49.72</v>
      </c>
      <c r="L35" s="74">
        <f t="shared" ref="L35:L38" si="17">J35+K35</f>
        <v>1638.83</v>
      </c>
      <c r="M35" s="75">
        <f t="shared" ref="M35:M38" si="18">L35*(1+$M$4)</f>
        <v>2095.571921</v>
      </c>
      <c r="N35" s="76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</row>
    <row r="36">
      <c r="A36" s="68" t="s">
        <v>107</v>
      </c>
      <c r="B36" s="69" t="s">
        <v>108</v>
      </c>
      <c r="C36" s="70" t="s">
        <v>109</v>
      </c>
      <c r="D36" s="71" t="s">
        <v>110</v>
      </c>
      <c r="E36" s="68" t="s">
        <v>16</v>
      </c>
      <c r="F36" s="80">
        <v>1.0</v>
      </c>
      <c r="G36" s="73">
        <v>2585.72</v>
      </c>
      <c r="H36" s="73">
        <v>49.72</v>
      </c>
      <c r="I36" s="74">
        <f t="shared" si="14"/>
        <v>2635.44</v>
      </c>
      <c r="J36" s="74">
        <f t="shared" si="15"/>
        <v>2585.72</v>
      </c>
      <c r="K36" s="74">
        <f t="shared" si="16"/>
        <v>49.72</v>
      </c>
      <c r="L36" s="74">
        <f t="shared" si="17"/>
        <v>2635.44</v>
      </c>
      <c r="M36" s="75">
        <f t="shared" si="18"/>
        <v>3369.937128</v>
      </c>
      <c r="N36" s="76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</row>
    <row r="37">
      <c r="A37" s="68" t="s">
        <v>111</v>
      </c>
      <c r="B37" s="69" t="s">
        <v>112</v>
      </c>
      <c r="C37" s="70" t="s">
        <v>105</v>
      </c>
      <c r="D37" s="71" t="s">
        <v>106</v>
      </c>
      <c r="E37" s="68" t="s">
        <v>16</v>
      </c>
      <c r="F37" s="80">
        <v>1.0</v>
      </c>
      <c r="G37" s="73">
        <v>1589.11</v>
      </c>
      <c r="H37" s="73">
        <v>49.72</v>
      </c>
      <c r="I37" s="74">
        <f t="shared" si="14"/>
        <v>1638.83</v>
      </c>
      <c r="J37" s="74">
        <f t="shared" si="15"/>
        <v>1589.11</v>
      </c>
      <c r="K37" s="74">
        <f t="shared" si="16"/>
        <v>49.72</v>
      </c>
      <c r="L37" s="74">
        <f t="shared" si="17"/>
        <v>1638.83</v>
      </c>
      <c r="M37" s="75">
        <f t="shared" si="18"/>
        <v>2095.571921</v>
      </c>
      <c r="N37" s="76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</row>
    <row r="38">
      <c r="A38" s="68" t="s">
        <v>113</v>
      </c>
      <c r="B38" s="69" t="s">
        <v>114</v>
      </c>
      <c r="C38" s="70" t="s">
        <v>115</v>
      </c>
      <c r="D38" s="71" t="s">
        <v>116</v>
      </c>
      <c r="E38" s="68" t="s">
        <v>16</v>
      </c>
      <c r="F38" s="80">
        <v>1.0</v>
      </c>
      <c r="G38" s="73">
        <v>1170.12</v>
      </c>
      <c r="H38" s="73">
        <v>49.72</v>
      </c>
      <c r="I38" s="74">
        <f t="shared" si="14"/>
        <v>1219.84</v>
      </c>
      <c r="J38" s="74">
        <f t="shared" si="15"/>
        <v>1170.12</v>
      </c>
      <c r="K38" s="74">
        <f t="shared" si="16"/>
        <v>49.72</v>
      </c>
      <c r="L38" s="74">
        <f t="shared" si="17"/>
        <v>1219.84</v>
      </c>
      <c r="M38" s="75">
        <f t="shared" si="18"/>
        <v>1559.809408</v>
      </c>
      <c r="N38" s="76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</row>
    <row r="39">
      <c r="A39" s="81" t="s">
        <v>117</v>
      </c>
      <c r="B39" s="61"/>
      <c r="C39" s="62"/>
      <c r="D39" s="63" t="s">
        <v>118</v>
      </c>
      <c r="E39" s="60"/>
      <c r="F39" s="64"/>
      <c r="G39" s="65"/>
      <c r="H39" s="65"/>
      <c r="I39" s="65"/>
      <c r="J39" s="85">
        <f t="shared" ref="J39:M39" si="19">SUM(J40:J41)</f>
        <v>10555.36</v>
      </c>
      <c r="K39" s="85">
        <f t="shared" si="19"/>
        <v>7.44</v>
      </c>
      <c r="L39" s="85">
        <f t="shared" si="19"/>
        <v>10562.8</v>
      </c>
      <c r="M39" s="85">
        <f t="shared" si="19"/>
        <v>13506.65236</v>
      </c>
      <c r="N39" s="82">
        <f>M39</f>
        <v>13506.65236</v>
      </c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</row>
    <row r="40">
      <c r="A40" s="68" t="s">
        <v>119</v>
      </c>
      <c r="B40" s="69" t="s">
        <v>120</v>
      </c>
      <c r="C40" s="70" t="s">
        <v>121</v>
      </c>
      <c r="D40" s="71" t="s">
        <v>122</v>
      </c>
      <c r="E40" s="68" t="s">
        <v>80</v>
      </c>
      <c r="F40" s="80">
        <f>4*3*7</f>
        <v>84</v>
      </c>
      <c r="G40" s="73">
        <v>91.94</v>
      </c>
      <c r="H40" s="73">
        <v>0.06</v>
      </c>
      <c r="I40" s="74">
        <f t="shared" ref="I40:I41" si="20">G40+H40</f>
        <v>92</v>
      </c>
      <c r="J40" s="74">
        <f t="shared" ref="J40:J41" si="21">G40*F40</f>
        <v>7722.96</v>
      </c>
      <c r="K40" s="74">
        <f t="shared" ref="K40:K41" si="22">H40*F40</f>
        <v>5.04</v>
      </c>
      <c r="L40" s="74">
        <f t="shared" ref="L40:L41" si="23">J40+K40</f>
        <v>7728</v>
      </c>
      <c r="M40" s="75">
        <f t="shared" ref="M40:M41" si="24">L40*(1+$M$4)</f>
        <v>9881.7936</v>
      </c>
      <c r="N40" s="76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</row>
    <row r="41">
      <c r="A41" s="68" t="s">
        <v>123</v>
      </c>
      <c r="B41" s="69" t="s">
        <v>124</v>
      </c>
      <c r="C41" s="70" t="s">
        <v>125</v>
      </c>
      <c r="D41" s="71" t="s">
        <v>126</v>
      </c>
      <c r="E41" s="68" t="s">
        <v>80</v>
      </c>
      <c r="F41" s="80">
        <f>(3*4*2)+(1*4*2)+(1*4*2)</f>
        <v>40</v>
      </c>
      <c r="G41" s="73">
        <v>70.81</v>
      </c>
      <c r="H41" s="73">
        <v>0.06</v>
      </c>
      <c r="I41" s="74">
        <f t="shared" si="20"/>
        <v>70.87</v>
      </c>
      <c r="J41" s="74">
        <f t="shared" si="21"/>
        <v>2832.4</v>
      </c>
      <c r="K41" s="74">
        <f t="shared" si="22"/>
        <v>2.4</v>
      </c>
      <c r="L41" s="74">
        <f t="shared" si="23"/>
        <v>2834.8</v>
      </c>
      <c r="M41" s="75">
        <f t="shared" si="24"/>
        <v>3624.85876</v>
      </c>
      <c r="N41" s="76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</row>
    <row r="42" ht="12.0" customHeight="1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3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</sheetData>
  <mergeCells count="23">
    <mergeCell ref="D6:G6"/>
    <mergeCell ref="D7:G7"/>
    <mergeCell ref="D8:G8"/>
    <mergeCell ref="D9:G9"/>
    <mergeCell ref="A3:A9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13:M13"/>
    <mergeCell ref="A42:M42"/>
    <mergeCell ref="A1:M1"/>
    <mergeCell ref="A2:M2"/>
    <mergeCell ref="B3:C9"/>
    <mergeCell ref="D3:G3"/>
    <mergeCell ref="D4:G4"/>
    <mergeCell ref="D5:G5"/>
    <mergeCell ref="A10:M10"/>
  </mergeCells>
  <printOptions horizontalCentered="1"/>
  <pageMargins bottom="0.75" footer="0.0" header="0.0" left="0.25" right="0.25" top="0.75"/>
  <pageSetup paperSize="9" orientation="portrait"/>
  <headerFooter>
    <oddHeader>&amp;L&amp;F&amp;C&amp;A</oddHeader>
    <oddFooter>&amp;L&amp;D &amp;T 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 fitToPage="1"/>
  </sheetPr>
  <sheetViews>
    <sheetView workbookViewId="0"/>
  </sheetViews>
  <sheetFormatPr customHeight="1" defaultColWidth="14.43" defaultRowHeight="15.0"/>
  <cols>
    <col customWidth="1" min="2" max="2" width="37.14"/>
    <col customWidth="1" min="3" max="3" width="13.57"/>
    <col customWidth="1" min="4" max="4" width="8.43"/>
    <col customWidth="1" min="7" max="15" width="8.71"/>
  </cols>
  <sheetData>
    <row r="1">
      <c r="A1" s="88"/>
      <c r="B1" s="89"/>
      <c r="C1" s="89"/>
      <c r="D1" s="89"/>
      <c r="E1" s="89"/>
      <c r="F1" s="89"/>
    </row>
    <row r="2">
      <c r="A2" s="90"/>
      <c r="B2" s="91"/>
      <c r="C2" s="91"/>
      <c r="D2" s="91"/>
      <c r="E2" s="91"/>
      <c r="F2" s="91"/>
    </row>
    <row r="3" ht="25.5" customHeight="1">
      <c r="A3" s="92"/>
      <c r="B3" s="93"/>
      <c r="C3" s="11" t="s">
        <v>0</v>
      </c>
      <c r="D3" s="6"/>
      <c r="E3" s="6"/>
      <c r="F3" s="7"/>
    </row>
    <row r="4" ht="13.5" customHeight="1">
      <c r="A4" s="92"/>
      <c r="B4" s="93"/>
      <c r="C4" s="18" t="s">
        <v>1</v>
      </c>
      <c r="D4" s="6"/>
      <c r="E4" s="6"/>
      <c r="F4" s="7"/>
    </row>
    <row r="5" ht="30.75" customHeight="1">
      <c r="A5" s="92"/>
      <c r="B5" s="93"/>
      <c r="C5" s="23" t="s">
        <v>3</v>
      </c>
      <c r="D5" s="6"/>
      <c r="E5" s="6"/>
      <c r="F5" s="7"/>
    </row>
    <row r="6" ht="13.5" customHeight="1">
      <c r="A6" s="92"/>
      <c r="B6" s="93"/>
      <c r="C6" s="25" t="s">
        <v>5</v>
      </c>
      <c r="D6" s="6"/>
      <c r="E6" s="6"/>
      <c r="F6" s="7"/>
    </row>
    <row r="7" ht="13.5" customHeight="1">
      <c r="A7" s="92"/>
      <c r="B7" s="93"/>
      <c r="C7" s="31" t="s">
        <v>7</v>
      </c>
      <c r="D7" s="6"/>
      <c r="E7" s="6"/>
      <c r="F7" s="7"/>
    </row>
    <row r="8" ht="18.0" customHeight="1">
      <c r="A8" s="92"/>
      <c r="B8" s="93"/>
      <c r="C8" s="35" t="s">
        <v>9</v>
      </c>
      <c r="D8" s="6"/>
      <c r="E8" s="6"/>
      <c r="F8" s="7"/>
    </row>
    <row r="9" ht="30.0" customHeight="1">
      <c r="A9" s="92"/>
      <c r="B9" s="93"/>
      <c r="C9" s="31" t="s">
        <v>11</v>
      </c>
      <c r="D9" s="6"/>
      <c r="E9" s="6"/>
      <c r="F9" s="7"/>
    </row>
    <row r="10">
      <c r="A10" s="90"/>
      <c r="B10" s="94"/>
      <c r="C10" s="4"/>
      <c r="D10" s="91"/>
      <c r="E10" s="91"/>
      <c r="F10" s="91"/>
    </row>
    <row r="11" ht="15.0" customHeight="1">
      <c r="A11" s="95" t="s">
        <v>127</v>
      </c>
      <c r="B11" s="96"/>
      <c r="C11" s="96"/>
      <c r="D11" s="96"/>
      <c r="E11" s="96"/>
      <c r="F11" s="97"/>
    </row>
    <row r="12" ht="15.0" customHeight="1">
      <c r="A12" s="98"/>
      <c r="B12" s="99" t="s">
        <v>128</v>
      </c>
      <c r="C12" s="100" t="s">
        <v>129</v>
      </c>
      <c r="D12" s="101" t="s">
        <v>130</v>
      </c>
      <c r="E12" s="102" t="s">
        <v>131</v>
      </c>
      <c r="F12" s="97"/>
    </row>
    <row r="13">
      <c r="A13" s="103"/>
      <c r="B13" s="103"/>
      <c r="C13" s="103"/>
      <c r="D13" s="103"/>
      <c r="E13" s="104" t="s">
        <v>130</v>
      </c>
      <c r="F13" s="104" t="s">
        <v>132</v>
      </c>
    </row>
    <row r="14">
      <c r="A14" s="105" t="s">
        <v>26</v>
      </c>
      <c r="B14" s="106" t="s">
        <v>133</v>
      </c>
      <c r="C14" s="107">
        <f>'ORÇAMENTO'!M7</f>
        <v>31375.53683</v>
      </c>
      <c r="D14" s="108">
        <f t="shared" ref="D14:D15" si="1">C14/$C$15</f>
        <v>1</v>
      </c>
      <c r="E14" s="109">
        <v>1.0</v>
      </c>
      <c r="F14" s="110">
        <f t="shared" ref="F14:F15" si="2">IF(E14&gt;0,E14*$C14,"  ")</f>
        <v>31375.53683</v>
      </c>
    </row>
    <row r="15" ht="15.75" customHeight="1">
      <c r="A15" s="105"/>
      <c r="B15" s="111" t="s">
        <v>23</v>
      </c>
      <c r="C15" s="112">
        <f>SUM(C14)</f>
        <v>31375.53683</v>
      </c>
      <c r="D15" s="113">
        <f t="shared" si="1"/>
        <v>1</v>
      </c>
      <c r="E15" s="114"/>
      <c r="F15" s="110" t="str">
        <f t="shared" si="2"/>
        <v>  </v>
      </c>
    </row>
    <row r="16" ht="15.75" customHeight="1">
      <c r="A16" s="115"/>
      <c r="B16" s="116"/>
      <c r="C16" s="116"/>
      <c r="D16" s="116"/>
      <c r="E16" s="116"/>
      <c r="F16" s="116"/>
    </row>
    <row r="17" ht="15.75" customHeight="1">
      <c r="A17" s="117"/>
      <c r="B17" s="118" t="s">
        <v>134</v>
      </c>
      <c r="C17" s="119"/>
      <c r="D17" s="119"/>
      <c r="E17" s="120">
        <f>SUM(F14:F15)</f>
        <v>31375.53683</v>
      </c>
      <c r="F17" s="97"/>
    </row>
    <row r="18" ht="15.75" customHeight="1">
      <c r="A18" s="117"/>
      <c r="B18" s="118" t="s">
        <v>135</v>
      </c>
      <c r="C18" s="114"/>
      <c r="D18" s="114"/>
      <c r="E18" s="121">
        <f>SUM(E17/$C$15)</f>
        <v>1</v>
      </c>
      <c r="F18" s="97"/>
    </row>
    <row r="19" ht="15.75" customHeight="1">
      <c r="A19" s="117"/>
      <c r="B19" s="118" t="s">
        <v>136</v>
      </c>
      <c r="C19" s="119"/>
      <c r="D19" s="119"/>
      <c r="E19" s="120">
        <f t="shared" ref="E19:E20" si="3">E17</f>
        <v>31375.53683</v>
      </c>
      <c r="F19" s="97"/>
    </row>
    <row r="20" ht="15.75" customHeight="1">
      <c r="A20" s="117"/>
      <c r="B20" s="118" t="s">
        <v>137</v>
      </c>
      <c r="C20" s="119"/>
      <c r="D20" s="114"/>
      <c r="E20" s="121">
        <f t="shared" si="3"/>
        <v>1</v>
      </c>
      <c r="F20" s="97"/>
    </row>
    <row r="21" ht="15.75" customHeight="1">
      <c r="A21" s="122"/>
      <c r="C21" s="123"/>
      <c r="D21" s="123"/>
      <c r="E21" s="123"/>
      <c r="F21" s="123"/>
    </row>
    <row r="22" ht="15.75" customHeight="1">
      <c r="A22" s="124"/>
      <c r="B22" s="96"/>
      <c r="C22" s="96"/>
      <c r="D22" s="96"/>
      <c r="E22" s="96"/>
      <c r="F22" s="96"/>
    </row>
    <row r="23" ht="15.75" customHeight="1">
      <c r="A23" s="125"/>
      <c r="B23" s="4"/>
      <c r="C23" s="4"/>
      <c r="D23" s="4"/>
      <c r="E23" s="4"/>
      <c r="F23" s="4"/>
    </row>
    <row r="24" ht="15.75" customHeight="1">
      <c r="A24" s="125"/>
      <c r="B24" s="126"/>
      <c r="C24" s="127"/>
      <c r="D24" s="128"/>
      <c r="E24" s="4"/>
      <c r="F24" s="4"/>
    </row>
    <row r="25" ht="15.75" customHeight="1">
      <c r="A25" s="125"/>
      <c r="B25" s="129"/>
      <c r="D25" s="130"/>
      <c r="E25" s="4"/>
      <c r="F25" s="4"/>
    </row>
    <row r="26" ht="15.75" customHeight="1">
      <c r="A26" s="125"/>
      <c r="B26" s="129"/>
      <c r="D26" s="130"/>
      <c r="E26" s="4"/>
      <c r="F26" s="4"/>
    </row>
    <row r="27" ht="15.75" customHeight="1">
      <c r="A27" s="125"/>
      <c r="B27" s="131"/>
      <c r="C27" s="132"/>
      <c r="D27" s="133"/>
      <c r="E27" s="4"/>
      <c r="F27" s="4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9">
    <mergeCell ref="C3:F3"/>
    <mergeCell ref="C4:F4"/>
    <mergeCell ref="C5:F5"/>
    <mergeCell ref="C6:F6"/>
    <mergeCell ref="C7:F7"/>
    <mergeCell ref="C8:F8"/>
    <mergeCell ref="C9:F9"/>
    <mergeCell ref="E18:F18"/>
    <mergeCell ref="E19:F19"/>
    <mergeCell ref="E20:F20"/>
    <mergeCell ref="A22:F22"/>
    <mergeCell ref="B24:D27"/>
    <mergeCell ref="A11:F11"/>
    <mergeCell ref="A12:A13"/>
    <mergeCell ref="B12:B13"/>
    <mergeCell ref="C12:C13"/>
    <mergeCell ref="D12:D13"/>
    <mergeCell ref="E12:F12"/>
    <mergeCell ref="E17:F17"/>
  </mergeCells>
  <printOptions horizontalCentered="1"/>
  <pageMargins bottom="0.75" footer="0.0" header="0.0" left="0.7" right="0.7" top="0.75"/>
  <pageSetup paperSize="8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4.43" defaultRowHeight="15.0"/>
  <cols>
    <col customWidth="1" min="5" max="5" width="6.71"/>
    <col customWidth="1" min="14" max="26" width="8.71"/>
  </cols>
  <sheetData>
    <row r="1">
      <c r="A1" s="134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ht="25.5" customHeight="1">
      <c r="A3" s="135"/>
      <c r="B3" s="136"/>
      <c r="C3" s="137"/>
      <c r="D3" s="10"/>
      <c r="E3" s="138" t="s">
        <v>0</v>
      </c>
      <c r="F3" s="6"/>
      <c r="G3" s="6"/>
      <c r="H3" s="7"/>
      <c r="I3" s="139"/>
      <c r="J3" s="139"/>
      <c r="K3" s="139"/>
      <c r="L3" s="4"/>
      <c r="M3" s="4"/>
    </row>
    <row r="4" ht="15.0" customHeight="1">
      <c r="A4" s="15"/>
      <c r="B4" s="136"/>
      <c r="C4" s="16"/>
      <c r="D4" s="17"/>
      <c r="E4" s="140" t="s">
        <v>1</v>
      </c>
      <c r="F4" s="6"/>
      <c r="G4" s="6"/>
      <c r="H4" s="7"/>
      <c r="I4" s="139"/>
      <c r="J4" s="139"/>
      <c r="K4" s="139"/>
      <c r="L4" s="141"/>
      <c r="M4" s="142"/>
    </row>
    <row r="5" ht="33.0" customHeight="1">
      <c r="A5" s="15"/>
      <c r="B5" s="136"/>
      <c r="C5" s="16"/>
      <c r="D5" s="17"/>
      <c r="E5" s="143" t="s">
        <v>3</v>
      </c>
      <c r="F5" s="6"/>
      <c r="G5" s="6"/>
      <c r="H5" s="7"/>
      <c r="I5" s="139"/>
      <c r="J5" s="139"/>
      <c r="K5" s="139"/>
      <c r="L5" s="144"/>
    </row>
    <row r="6" ht="15.0" customHeight="1">
      <c r="A6" s="15"/>
      <c r="B6" s="136"/>
      <c r="C6" s="16"/>
      <c r="D6" s="17"/>
      <c r="E6" s="25" t="s">
        <v>5</v>
      </c>
      <c r="F6" s="6"/>
      <c r="G6" s="6"/>
      <c r="H6" s="7"/>
      <c r="I6" s="136"/>
      <c r="J6" s="136"/>
      <c r="K6" s="136"/>
      <c r="L6" s="145"/>
      <c r="M6" s="146"/>
    </row>
    <row r="7" ht="15.0" customHeight="1">
      <c r="A7" s="15"/>
      <c r="B7" s="136"/>
      <c r="C7" s="16"/>
      <c r="D7" s="17"/>
      <c r="E7" s="147" t="s">
        <v>7</v>
      </c>
      <c r="F7" s="6"/>
      <c r="G7" s="6"/>
      <c r="H7" s="7"/>
      <c r="I7" s="136"/>
      <c r="J7" s="136"/>
      <c r="K7" s="136"/>
      <c r="L7" s="145"/>
      <c r="M7" s="148"/>
    </row>
    <row r="8" ht="26.25" customHeight="1">
      <c r="A8" s="15"/>
      <c r="B8" s="136"/>
      <c r="C8" s="16"/>
      <c r="D8" s="17"/>
      <c r="E8" s="149" t="s">
        <v>9</v>
      </c>
      <c r="F8" s="6"/>
      <c r="G8" s="6"/>
      <c r="H8" s="7"/>
      <c r="I8" s="136"/>
      <c r="J8" s="139"/>
      <c r="K8" s="139"/>
      <c r="L8" s="4"/>
      <c r="M8" s="4"/>
    </row>
    <row r="9" ht="12.75" customHeight="1">
      <c r="A9" s="38"/>
      <c r="B9" s="136"/>
      <c r="C9" s="39"/>
      <c r="D9" s="40"/>
      <c r="E9" s="147" t="s">
        <v>11</v>
      </c>
      <c r="F9" s="6"/>
      <c r="G9" s="6"/>
      <c r="H9" s="7"/>
      <c r="I9" s="139"/>
      <c r="J9" s="139"/>
      <c r="K9" s="139"/>
      <c r="L9" s="4"/>
      <c r="M9" s="4"/>
    </row>
    <row r="10">
      <c r="A10" s="150"/>
      <c r="B10" s="150"/>
      <c r="C10" s="150"/>
      <c r="D10" s="150"/>
      <c r="E10" s="150"/>
      <c r="I10" s="150"/>
      <c r="J10" s="150"/>
      <c r="K10" s="150"/>
    </row>
    <row r="11">
      <c r="A11" s="134" t="s">
        <v>138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>
      <c r="A12" s="151" t="s">
        <v>139</v>
      </c>
      <c r="B12" s="96"/>
      <c r="C12" s="96"/>
      <c r="D12" s="96"/>
      <c r="E12" s="96"/>
      <c r="F12" s="96"/>
      <c r="G12" s="96"/>
      <c r="H12" s="96"/>
      <c r="I12" s="96"/>
      <c r="J12" s="96"/>
      <c r="K12" s="97"/>
    </row>
    <row r="13" ht="15.0" customHeight="1">
      <c r="A13" s="152" t="s">
        <v>12</v>
      </c>
      <c r="B13" s="153" t="s">
        <v>140</v>
      </c>
      <c r="C13" s="154"/>
      <c r="D13" s="155"/>
      <c r="E13" s="152" t="s">
        <v>141</v>
      </c>
      <c r="F13" s="152" t="s">
        <v>142</v>
      </c>
      <c r="G13" s="152" t="s">
        <v>143</v>
      </c>
      <c r="H13" s="156" t="s">
        <v>144</v>
      </c>
      <c r="I13" s="151" t="s">
        <v>145</v>
      </c>
      <c r="J13" s="96"/>
      <c r="K13" s="97"/>
    </row>
    <row r="14">
      <c r="A14" s="103"/>
      <c r="B14" s="157"/>
      <c r="C14" s="158"/>
      <c r="D14" s="159"/>
      <c r="E14" s="103"/>
      <c r="F14" s="103"/>
      <c r="G14" s="103"/>
      <c r="H14" s="103"/>
      <c r="I14" s="160" t="s">
        <v>146</v>
      </c>
      <c r="J14" s="160" t="s">
        <v>147</v>
      </c>
      <c r="K14" s="160" t="s">
        <v>148</v>
      </c>
    </row>
    <row r="15">
      <c r="A15" s="161">
        <v>1.0</v>
      </c>
      <c r="B15" s="162" t="s">
        <v>149</v>
      </c>
      <c r="C15" s="96"/>
      <c r="D15" s="97"/>
      <c r="E15" s="163" t="s">
        <v>150</v>
      </c>
      <c r="F15" s="164">
        <v>0.04</v>
      </c>
      <c r="G15" s="165"/>
      <c r="H15" s="161" t="str">
        <f t="shared" ref="H15:H19" si="1">IF(AND(F15&gt;=I15,F15&lt;=K15),"OK","DIFERE")</f>
        <v>OK</v>
      </c>
      <c r="I15" s="166">
        <v>0.03</v>
      </c>
      <c r="J15" s="166">
        <v>0.04</v>
      </c>
      <c r="K15" s="166">
        <v>0.055</v>
      </c>
    </row>
    <row r="16">
      <c r="A16" s="161">
        <v>2.0</v>
      </c>
      <c r="B16" s="162" t="s">
        <v>151</v>
      </c>
      <c r="C16" s="96"/>
      <c r="D16" s="97"/>
      <c r="E16" s="163" t="s">
        <v>150</v>
      </c>
      <c r="F16" s="167">
        <v>0.008</v>
      </c>
      <c r="G16" s="165"/>
      <c r="H16" s="161" t="str">
        <f t="shared" si="1"/>
        <v>OK</v>
      </c>
      <c r="I16" s="166">
        <v>0.008</v>
      </c>
      <c r="J16" s="166">
        <v>0.008</v>
      </c>
      <c r="K16" s="166">
        <v>0.01</v>
      </c>
    </row>
    <row r="17">
      <c r="A17" s="161">
        <v>3.0</v>
      </c>
      <c r="B17" s="162" t="s">
        <v>152</v>
      </c>
      <c r="C17" s="96"/>
      <c r="D17" s="97"/>
      <c r="E17" s="163" t="s">
        <v>150</v>
      </c>
      <c r="F17" s="164">
        <v>0.0127</v>
      </c>
      <c r="G17" s="165"/>
      <c r="H17" s="161" t="str">
        <f t="shared" si="1"/>
        <v>OK</v>
      </c>
      <c r="I17" s="166">
        <v>0.0097</v>
      </c>
      <c r="J17" s="166">
        <v>0.0127</v>
      </c>
      <c r="K17" s="166">
        <v>0.0127</v>
      </c>
    </row>
    <row r="18">
      <c r="A18" s="161">
        <v>4.0</v>
      </c>
      <c r="B18" s="162" t="s">
        <v>153</v>
      </c>
      <c r="C18" s="96"/>
      <c r="D18" s="97"/>
      <c r="E18" s="163" t="s">
        <v>150</v>
      </c>
      <c r="F18" s="164">
        <v>0.0123</v>
      </c>
      <c r="G18" s="165"/>
      <c r="H18" s="161" t="str">
        <f t="shared" si="1"/>
        <v>OK</v>
      </c>
      <c r="I18" s="166">
        <v>0.0059</v>
      </c>
      <c r="J18" s="166">
        <v>0.0123</v>
      </c>
      <c r="K18" s="166">
        <v>0.0139</v>
      </c>
    </row>
    <row r="19">
      <c r="A19" s="161">
        <v>5.0</v>
      </c>
      <c r="B19" s="162" t="s">
        <v>154</v>
      </c>
      <c r="C19" s="96"/>
      <c r="D19" s="97"/>
      <c r="E19" s="163" t="s">
        <v>150</v>
      </c>
      <c r="F19" s="164">
        <v>0.07</v>
      </c>
      <c r="G19" s="165"/>
      <c r="H19" s="161" t="str">
        <f t="shared" si="1"/>
        <v>OK</v>
      </c>
      <c r="I19" s="166">
        <v>0.0616</v>
      </c>
      <c r="J19" s="166">
        <v>0.074</v>
      </c>
      <c r="K19" s="166">
        <v>0.0896</v>
      </c>
    </row>
    <row r="20">
      <c r="A20" s="161">
        <v>6.0</v>
      </c>
      <c r="B20" s="162" t="s">
        <v>155</v>
      </c>
      <c r="C20" s="96"/>
      <c r="D20" s="97"/>
      <c r="E20" s="163" t="s">
        <v>150</v>
      </c>
      <c r="F20" s="167">
        <f>SUM(F21:F24)</f>
        <v>0.1015</v>
      </c>
      <c r="G20" s="168" t="s">
        <v>156</v>
      </c>
      <c r="H20" s="154"/>
      <c r="I20" s="154"/>
      <c r="J20" s="154"/>
      <c r="K20" s="155"/>
    </row>
    <row r="21" ht="15.75" customHeight="1">
      <c r="A21" s="169">
        <v>43836.0</v>
      </c>
      <c r="B21" s="162" t="s">
        <v>157</v>
      </c>
      <c r="C21" s="96"/>
      <c r="D21" s="96"/>
      <c r="E21" s="97"/>
      <c r="F21" s="167">
        <v>0.0065</v>
      </c>
      <c r="G21" s="170"/>
      <c r="K21" s="171"/>
    </row>
    <row r="22" ht="15.75" customHeight="1">
      <c r="A22" s="169">
        <v>43867.0</v>
      </c>
      <c r="B22" s="162" t="s">
        <v>158</v>
      </c>
      <c r="C22" s="96"/>
      <c r="D22" s="96"/>
      <c r="E22" s="97"/>
      <c r="F22" s="167">
        <v>0.03</v>
      </c>
      <c r="G22" s="170"/>
      <c r="K22" s="171"/>
    </row>
    <row r="23" ht="15.75" customHeight="1">
      <c r="A23" s="169">
        <v>43896.0</v>
      </c>
      <c r="B23" s="162" t="s">
        <v>159</v>
      </c>
      <c r="C23" s="96"/>
      <c r="D23" s="96"/>
      <c r="E23" s="97"/>
      <c r="F23" s="167">
        <v>0.02</v>
      </c>
      <c r="G23" s="170"/>
      <c r="K23" s="171"/>
    </row>
    <row r="24" ht="15.75" customHeight="1">
      <c r="A24" s="169">
        <v>43927.0</v>
      </c>
      <c r="B24" s="162" t="s">
        <v>160</v>
      </c>
      <c r="C24" s="96"/>
      <c r="D24" s="96"/>
      <c r="E24" s="97"/>
      <c r="F24" s="167">
        <v>0.045</v>
      </c>
      <c r="G24" s="170"/>
      <c r="K24" s="171"/>
    </row>
    <row r="25" ht="15.75" customHeight="1">
      <c r="A25" s="172"/>
      <c r="B25" s="158"/>
      <c r="C25" s="158"/>
      <c r="D25" s="158"/>
      <c r="E25" s="158"/>
      <c r="F25" s="159"/>
      <c r="G25" s="170"/>
      <c r="K25" s="171"/>
    </row>
    <row r="26" ht="15.75" customHeight="1">
      <c r="A26" s="151" t="s">
        <v>161</v>
      </c>
      <c r="B26" s="96"/>
      <c r="C26" s="96"/>
      <c r="D26" s="97"/>
      <c r="E26" s="163" t="s">
        <v>150</v>
      </c>
      <c r="F26" s="165"/>
      <c r="G26" s="157"/>
      <c r="H26" s="158"/>
      <c r="I26" s="158"/>
      <c r="J26" s="158"/>
      <c r="K26" s="159"/>
    </row>
    <row r="27" ht="15.75" customHeight="1">
      <c r="A27" s="151" t="s">
        <v>162</v>
      </c>
      <c r="B27" s="96"/>
      <c r="C27" s="96"/>
      <c r="D27" s="97"/>
      <c r="E27" s="163" t="s">
        <v>150</v>
      </c>
      <c r="F27" s="165"/>
      <c r="G27" s="162" t="s">
        <v>163</v>
      </c>
      <c r="H27" s="96"/>
      <c r="I27" s="96"/>
      <c r="J27" s="96"/>
      <c r="K27" s="97"/>
    </row>
    <row r="28" ht="15.75" customHeight="1">
      <c r="A28" s="151" t="s">
        <v>164</v>
      </c>
      <c r="B28" s="96"/>
      <c r="C28" s="96"/>
      <c r="D28" s="96"/>
      <c r="E28" s="97"/>
      <c r="F28" s="173">
        <f>ROUND(((((1+(F15+F16+F17))*(1+F18)*(1+F19))/(1-F20))-1),4)</f>
        <v>0.2787</v>
      </c>
      <c r="G28" s="162" t="s">
        <v>165</v>
      </c>
      <c r="H28" s="96"/>
      <c r="I28" s="96"/>
      <c r="J28" s="96"/>
      <c r="K28" s="97"/>
    </row>
    <row r="29" ht="15.75" customHeight="1">
      <c r="A29" s="174"/>
      <c r="B29" s="174"/>
      <c r="C29" s="174"/>
      <c r="D29" s="174"/>
      <c r="E29" s="174"/>
      <c r="F29" s="175"/>
      <c r="G29" s="162" t="s">
        <v>166</v>
      </c>
      <c r="H29" s="96"/>
      <c r="I29" s="96"/>
      <c r="J29" s="96"/>
      <c r="K29" s="97"/>
    </row>
    <row r="30" ht="15.75" customHeight="1">
      <c r="A30" s="176" t="s">
        <v>167</v>
      </c>
      <c r="B30" s="96"/>
      <c r="C30" s="96"/>
      <c r="D30" s="97"/>
      <c r="E30" s="174"/>
      <c r="F30" s="175"/>
      <c r="G30" s="162" t="s">
        <v>168</v>
      </c>
      <c r="H30" s="96"/>
      <c r="I30" s="96"/>
      <c r="J30" s="96"/>
      <c r="K30" s="97"/>
    </row>
    <row r="31" ht="15.75" customHeight="1">
      <c r="A31" s="177" t="s">
        <v>169</v>
      </c>
      <c r="B31" s="167">
        <v>0.2034</v>
      </c>
      <c r="C31" s="167">
        <v>0.2212</v>
      </c>
      <c r="D31" s="167">
        <v>0.25</v>
      </c>
      <c r="E31" s="174"/>
      <c r="F31" s="175"/>
      <c r="G31" s="162" t="s">
        <v>170</v>
      </c>
      <c r="H31" s="96"/>
      <c r="I31" s="96"/>
      <c r="J31" s="96"/>
      <c r="K31" s="97"/>
    </row>
    <row r="32" ht="15.75" customHeight="1">
      <c r="A32" s="177" t="s">
        <v>171</v>
      </c>
      <c r="B32" s="167">
        <v>0.2601</v>
      </c>
      <c r="C32" s="167">
        <v>0.2787</v>
      </c>
      <c r="D32" s="167">
        <v>0.3089</v>
      </c>
      <c r="E32" s="174"/>
      <c r="F32" s="175"/>
      <c r="G32" s="162" t="s">
        <v>172</v>
      </c>
      <c r="H32" s="96"/>
      <c r="I32" s="96"/>
      <c r="J32" s="96"/>
      <c r="K32" s="97"/>
    </row>
    <row r="33" ht="15.75" customHeight="1">
      <c r="A33" s="174"/>
      <c r="B33" s="174"/>
      <c r="C33" s="174"/>
      <c r="D33" s="174"/>
      <c r="E33" s="174"/>
      <c r="F33" s="175"/>
      <c r="G33" s="162" t="s">
        <v>173</v>
      </c>
      <c r="H33" s="96"/>
      <c r="I33" s="96"/>
      <c r="J33" s="96"/>
      <c r="K33" s="97"/>
    </row>
    <row r="34" ht="15.75" customHeight="1">
      <c r="A34" s="172"/>
      <c r="B34" s="172"/>
      <c r="C34" s="172"/>
      <c r="D34" s="172"/>
      <c r="E34" s="172"/>
      <c r="F34" s="178"/>
      <c r="G34" s="162" t="s">
        <v>174</v>
      </c>
      <c r="H34" s="96"/>
      <c r="I34" s="96"/>
      <c r="J34" s="96"/>
      <c r="K34" s="97"/>
    </row>
    <row r="35" ht="15.75" customHeight="1">
      <c r="A35" s="179"/>
      <c r="B35" s="96"/>
      <c r="C35" s="96"/>
      <c r="D35" s="96"/>
      <c r="E35" s="96"/>
      <c r="F35" s="96"/>
      <c r="G35" s="96"/>
      <c r="H35" s="96"/>
      <c r="I35" s="96"/>
      <c r="J35" s="96"/>
      <c r="K35" s="97"/>
    </row>
    <row r="36" ht="15.75" customHeight="1"/>
    <row r="37" ht="15.75" customHeight="1">
      <c r="A37" s="134" t="s">
        <v>175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5.75" customHeight="1">
      <c r="A38" s="151" t="s">
        <v>139</v>
      </c>
      <c r="B38" s="96"/>
      <c r="C38" s="96"/>
      <c r="D38" s="96"/>
      <c r="E38" s="96"/>
      <c r="F38" s="96"/>
      <c r="G38" s="96"/>
      <c r="H38" s="96"/>
      <c r="I38" s="96"/>
      <c r="J38" s="96"/>
      <c r="K38" s="97"/>
    </row>
    <row r="39" ht="15.0" customHeight="1">
      <c r="A39" s="180" t="s">
        <v>12</v>
      </c>
      <c r="B39" s="153" t="s">
        <v>140</v>
      </c>
      <c r="C39" s="154"/>
      <c r="D39" s="155"/>
      <c r="E39" s="152" t="s">
        <v>141</v>
      </c>
      <c r="F39" s="152" t="s">
        <v>142</v>
      </c>
      <c r="G39" s="152" t="s">
        <v>143</v>
      </c>
      <c r="H39" s="156" t="s">
        <v>144</v>
      </c>
      <c r="I39" s="151" t="s">
        <v>145</v>
      </c>
      <c r="J39" s="96"/>
      <c r="K39" s="97"/>
    </row>
    <row r="40" ht="15.75" customHeight="1">
      <c r="A40" s="181"/>
      <c r="B40" s="157"/>
      <c r="C40" s="158"/>
      <c r="D40" s="159"/>
      <c r="E40" s="103"/>
      <c r="F40" s="103"/>
      <c r="G40" s="103"/>
      <c r="H40" s="103"/>
      <c r="I40" s="160" t="s">
        <v>146</v>
      </c>
      <c r="J40" s="160" t="s">
        <v>147</v>
      </c>
      <c r="K40" s="160" t="s">
        <v>148</v>
      </c>
    </row>
    <row r="41" ht="15.75" customHeight="1">
      <c r="A41" s="161">
        <v>1.0</v>
      </c>
      <c r="B41" s="162" t="s">
        <v>149</v>
      </c>
      <c r="C41" s="96"/>
      <c r="D41" s="97"/>
      <c r="E41" s="165"/>
      <c r="F41" s="173">
        <v>0.015</v>
      </c>
      <c r="G41" s="165"/>
      <c r="H41" s="161" t="str">
        <f t="shared" ref="H41:H45" si="2">IF(AND(F41&gt;=I41,F41&lt;=K41),"OK","DIFERE")</f>
        <v>OK</v>
      </c>
      <c r="I41" s="166">
        <v>0.015</v>
      </c>
      <c r="J41" s="166">
        <v>0.0345</v>
      </c>
      <c r="K41" s="166">
        <v>0.0449</v>
      </c>
    </row>
    <row r="42" ht="15.75" customHeight="1">
      <c r="A42" s="161">
        <v>2.0</v>
      </c>
      <c r="B42" s="162" t="s">
        <v>151</v>
      </c>
      <c r="C42" s="96"/>
      <c r="D42" s="97"/>
      <c r="E42" s="165"/>
      <c r="F42" s="167">
        <v>0.003</v>
      </c>
      <c r="G42" s="165"/>
      <c r="H42" s="161" t="str">
        <f t="shared" si="2"/>
        <v>OK</v>
      </c>
      <c r="I42" s="166">
        <v>0.003</v>
      </c>
      <c r="J42" s="166">
        <v>0.0048</v>
      </c>
      <c r="K42" s="166">
        <v>0.0082</v>
      </c>
    </row>
    <row r="43" ht="15.75" customHeight="1">
      <c r="A43" s="161">
        <v>3.0</v>
      </c>
      <c r="B43" s="162" t="s">
        <v>152</v>
      </c>
      <c r="C43" s="96"/>
      <c r="D43" s="97"/>
      <c r="E43" s="165"/>
      <c r="F43" s="167">
        <v>0.0056</v>
      </c>
      <c r="G43" s="165"/>
      <c r="H43" s="161" t="str">
        <f t="shared" si="2"/>
        <v>OK</v>
      </c>
      <c r="I43" s="166">
        <v>0.0056</v>
      </c>
      <c r="J43" s="166">
        <v>0.0085</v>
      </c>
      <c r="K43" s="166">
        <v>0.0089</v>
      </c>
    </row>
    <row r="44" ht="15.75" customHeight="1">
      <c r="A44" s="161">
        <v>4.0</v>
      </c>
      <c r="B44" s="162" t="s">
        <v>153</v>
      </c>
      <c r="C44" s="96"/>
      <c r="D44" s="97"/>
      <c r="E44" s="165"/>
      <c r="F44" s="167">
        <v>0.0085</v>
      </c>
      <c r="G44" s="165"/>
      <c r="H44" s="161" t="str">
        <f t="shared" si="2"/>
        <v>OK</v>
      </c>
      <c r="I44" s="166">
        <v>0.0085</v>
      </c>
      <c r="J44" s="166">
        <v>0.0085</v>
      </c>
      <c r="K44" s="166">
        <v>0.0111</v>
      </c>
    </row>
    <row r="45" ht="15.75" customHeight="1">
      <c r="A45" s="161">
        <v>5.0</v>
      </c>
      <c r="B45" s="162" t="s">
        <v>154</v>
      </c>
      <c r="C45" s="96"/>
      <c r="D45" s="97"/>
      <c r="E45" s="165"/>
      <c r="F45" s="173">
        <v>0.0352</v>
      </c>
      <c r="G45" s="165"/>
      <c r="H45" s="161" t="str">
        <f t="shared" si="2"/>
        <v>OK</v>
      </c>
      <c r="I45" s="166">
        <v>0.035</v>
      </c>
      <c r="J45" s="166">
        <v>0.0511</v>
      </c>
      <c r="K45" s="166">
        <v>0.0622</v>
      </c>
    </row>
    <row r="46" ht="15.75" customHeight="1">
      <c r="A46" s="161">
        <v>6.0</v>
      </c>
      <c r="B46" s="162" t="s">
        <v>155</v>
      </c>
      <c r="C46" s="96"/>
      <c r="D46" s="97"/>
      <c r="E46" s="165"/>
      <c r="F46" s="167">
        <f>SUM(F47:F50)</f>
        <v>0.0815</v>
      </c>
      <c r="G46" s="168" t="s">
        <v>156</v>
      </c>
      <c r="H46" s="154"/>
      <c r="I46" s="154"/>
      <c r="J46" s="154"/>
      <c r="K46" s="155"/>
    </row>
    <row r="47" ht="15.75" customHeight="1">
      <c r="A47" s="169">
        <v>43836.0</v>
      </c>
      <c r="B47" s="162" t="s">
        <v>157</v>
      </c>
      <c r="C47" s="96"/>
      <c r="D47" s="96"/>
      <c r="E47" s="97"/>
      <c r="F47" s="167">
        <v>0.0065</v>
      </c>
      <c r="G47" s="170"/>
      <c r="K47" s="171"/>
    </row>
    <row r="48" ht="15.75" customHeight="1">
      <c r="A48" s="169">
        <v>43867.0</v>
      </c>
      <c r="B48" s="162" t="s">
        <v>158</v>
      </c>
      <c r="C48" s="96"/>
      <c r="D48" s="96"/>
      <c r="E48" s="97"/>
      <c r="F48" s="167">
        <v>0.03</v>
      </c>
      <c r="G48" s="170"/>
      <c r="K48" s="171"/>
    </row>
    <row r="49" ht="15.75" customHeight="1">
      <c r="A49" s="169">
        <v>43896.0</v>
      </c>
      <c r="B49" s="162" t="s">
        <v>159</v>
      </c>
      <c r="C49" s="96"/>
      <c r="D49" s="96"/>
      <c r="E49" s="97"/>
      <c r="F49" s="173">
        <v>0.0</v>
      </c>
      <c r="G49" s="170"/>
      <c r="K49" s="171"/>
    </row>
    <row r="50" ht="15.75" customHeight="1">
      <c r="A50" s="169">
        <v>43927.0</v>
      </c>
      <c r="B50" s="162" t="s">
        <v>160</v>
      </c>
      <c r="C50" s="96"/>
      <c r="D50" s="96"/>
      <c r="E50" s="97"/>
      <c r="F50" s="167">
        <v>0.045</v>
      </c>
      <c r="G50" s="170"/>
      <c r="K50" s="171"/>
    </row>
    <row r="51" ht="15.75" customHeight="1">
      <c r="A51" s="172"/>
      <c r="B51" s="158"/>
      <c r="C51" s="158"/>
      <c r="D51" s="158"/>
      <c r="E51" s="158"/>
      <c r="F51" s="159"/>
      <c r="G51" s="170"/>
      <c r="K51" s="171"/>
    </row>
    <row r="52" ht="15.75" customHeight="1">
      <c r="A52" s="151" t="s">
        <v>161</v>
      </c>
      <c r="B52" s="96"/>
      <c r="C52" s="96"/>
      <c r="D52" s="97"/>
      <c r="E52" s="165"/>
      <c r="F52" s="165"/>
      <c r="G52" s="157"/>
      <c r="H52" s="158"/>
      <c r="I52" s="158"/>
      <c r="J52" s="158"/>
      <c r="K52" s="159"/>
    </row>
    <row r="53" ht="15.75" customHeight="1">
      <c r="A53" s="151" t="s">
        <v>162</v>
      </c>
      <c r="B53" s="96"/>
      <c r="C53" s="96"/>
      <c r="D53" s="97"/>
      <c r="E53" s="165"/>
      <c r="F53" s="165"/>
      <c r="G53" s="162" t="s">
        <v>163</v>
      </c>
      <c r="H53" s="96"/>
      <c r="I53" s="96"/>
      <c r="J53" s="96"/>
      <c r="K53" s="97"/>
    </row>
    <row r="54" ht="15.75" customHeight="1">
      <c r="A54" s="151" t="s">
        <v>164</v>
      </c>
      <c r="B54" s="96"/>
      <c r="C54" s="96"/>
      <c r="D54" s="96"/>
      <c r="E54" s="97"/>
      <c r="F54" s="167">
        <f>ROUND((((1+(F41+F42+F43))*(1+F44)*(1+F45))/(1-F46))-1,4)</f>
        <v>0.1635</v>
      </c>
      <c r="G54" s="162" t="s">
        <v>165</v>
      </c>
      <c r="H54" s="96"/>
      <c r="I54" s="96"/>
      <c r="J54" s="96"/>
      <c r="K54" s="97"/>
    </row>
    <row r="55" ht="15.75" customHeight="1">
      <c r="A55" s="165"/>
      <c r="B55" s="165"/>
      <c r="C55" s="165"/>
      <c r="D55" s="165"/>
      <c r="E55" s="174"/>
      <c r="F55" s="165"/>
      <c r="G55" s="162" t="s">
        <v>166</v>
      </c>
      <c r="H55" s="96"/>
      <c r="I55" s="96"/>
      <c r="J55" s="96"/>
      <c r="K55" s="97"/>
    </row>
    <row r="56" ht="15.75" customHeight="1">
      <c r="A56" s="176" t="s">
        <v>167</v>
      </c>
      <c r="B56" s="96"/>
      <c r="C56" s="96"/>
      <c r="D56" s="97"/>
      <c r="E56" s="174"/>
      <c r="F56" s="165"/>
      <c r="G56" s="162" t="s">
        <v>168</v>
      </c>
      <c r="H56" s="96"/>
      <c r="I56" s="96"/>
      <c r="J56" s="96"/>
      <c r="K56" s="97"/>
    </row>
    <row r="57" ht="15.75" customHeight="1">
      <c r="A57" s="182" t="s">
        <v>169</v>
      </c>
      <c r="B57" s="167">
        <v>0.111</v>
      </c>
      <c r="C57" s="167">
        <v>0.1402</v>
      </c>
      <c r="D57" s="167">
        <v>0.168</v>
      </c>
      <c r="E57" s="174"/>
      <c r="F57" s="165"/>
      <c r="G57" s="162" t="s">
        <v>170</v>
      </c>
      <c r="H57" s="96"/>
      <c r="I57" s="96"/>
      <c r="J57" s="96"/>
      <c r="K57" s="97"/>
    </row>
    <row r="58" ht="15.75" customHeight="1">
      <c r="A58" s="182" t="s">
        <v>171</v>
      </c>
      <c r="B58" s="167">
        <v>0.1634</v>
      </c>
      <c r="C58" s="167">
        <v>0.1939</v>
      </c>
      <c r="D58" s="167">
        <v>0.223</v>
      </c>
      <c r="E58" s="174"/>
      <c r="F58" s="165"/>
      <c r="G58" s="162" t="s">
        <v>172</v>
      </c>
      <c r="H58" s="96"/>
      <c r="I58" s="96"/>
      <c r="J58" s="96"/>
      <c r="K58" s="97"/>
    </row>
    <row r="59" ht="15.75" customHeight="1">
      <c r="A59" s="174"/>
      <c r="B59" s="174"/>
      <c r="C59" s="174"/>
      <c r="D59" s="174"/>
      <c r="E59" s="174"/>
      <c r="F59" s="165"/>
      <c r="G59" s="162" t="s">
        <v>173</v>
      </c>
      <c r="H59" s="96"/>
      <c r="I59" s="96"/>
      <c r="J59" s="96"/>
      <c r="K59" s="97"/>
    </row>
    <row r="60" ht="15.75" customHeight="1">
      <c r="A60" s="165"/>
      <c r="B60" s="165"/>
      <c r="C60" s="165"/>
      <c r="D60" s="165"/>
      <c r="E60" s="165"/>
      <c r="F60" s="165"/>
      <c r="G60" s="162" t="s">
        <v>174</v>
      </c>
      <c r="H60" s="96"/>
      <c r="I60" s="96"/>
      <c r="J60" s="96"/>
      <c r="K60" s="97"/>
    </row>
    <row r="61" ht="23.25" customHeight="1">
      <c r="A61" s="183" t="s">
        <v>176</v>
      </c>
      <c r="B61" s="96"/>
      <c r="C61" s="96"/>
      <c r="D61" s="96"/>
      <c r="E61" s="96"/>
      <c r="F61" s="96"/>
      <c r="G61" s="96"/>
      <c r="H61" s="96"/>
      <c r="I61" s="96"/>
      <c r="J61" s="96"/>
      <c r="K61" s="97"/>
    </row>
    <row r="62" ht="15.75" customHeight="1"/>
    <row r="63" ht="15.75" customHeight="1">
      <c r="A63" s="179"/>
      <c r="B63" s="96"/>
      <c r="C63" s="96"/>
      <c r="D63" s="96"/>
      <c r="E63" s="96"/>
      <c r="F63" s="96"/>
      <c r="G63" s="96"/>
      <c r="H63" s="96"/>
      <c r="I63" s="96"/>
      <c r="J63" s="96"/>
      <c r="K63" s="97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1"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7:E47"/>
    <mergeCell ref="B48:E48"/>
    <mergeCell ref="B49:E49"/>
    <mergeCell ref="B50:E50"/>
    <mergeCell ref="A51:F51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E6:H6"/>
    <mergeCell ref="E7:H7"/>
    <mergeCell ref="E8:H8"/>
    <mergeCell ref="E9:H9"/>
    <mergeCell ref="E10:H10"/>
    <mergeCell ref="A1:K1"/>
    <mergeCell ref="A3:A9"/>
    <mergeCell ref="C3:D9"/>
    <mergeCell ref="E3:H3"/>
    <mergeCell ref="E4:H4"/>
    <mergeCell ref="E5:H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